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<sst xmlns="http://schemas.openxmlformats.org/spreadsheetml/2006/main" count="866" uniqueCount="392">
  <si>
    <t>荷重の計算</t>
  </si>
  <si>
    <t>躯体サイズ</t>
  </si>
  <si>
    <t>全高</t>
  </si>
  <si>
    <t>底盤長</t>
  </si>
  <si>
    <t>立壁厚</t>
  </si>
  <si>
    <t>底盤厚</t>
  </si>
  <si>
    <t>躯体断面積</t>
  </si>
  <si>
    <t>H＝</t>
  </si>
  <si>
    <t>B＝</t>
  </si>
  <si>
    <t>ｔ1＝</t>
  </si>
  <si>
    <t>ｔ2＝</t>
  </si>
  <si>
    <t>底盤</t>
  </si>
  <si>
    <t>立壁</t>
  </si>
  <si>
    <t>×</t>
  </si>
  <si>
    <t>（ｍ）</t>
  </si>
  <si>
    <t>背面土断面積</t>
  </si>
  <si>
    <t>単位体積重量</t>
  </si>
  <si>
    <t>背面土</t>
  </si>
  <si>
    <t>鉄筋コンクリート</t>
  </si>
  <si>
    <t>KN/㎥</t>
  </si>
  <si>
    <t>KN/㎥</t>
  </si>
  <si>
    <t>背面土</t>
  </si>
  <si>
    <t>（B-t1)×ｔ2＝②</t>
  </si>
  <si>
    <t>H×ｔ1＝①</t>
  </si>
  <si>
    <t>設計諸元（イ）</t>
  </si>
  <si>
    <t>（B-t1)×（H-t2)＝③</t>
  </si>
  <si>
    <t>（㎡）</t>
  </si>
  <si>
    <t>W（KN/ｍ）</t>
  </si>
  <si>
    <t>自重合計</t>
  </si>
  <si>
    <t>ΣW</t>
  </si>
  <si>
    <t>区分</t>
  </si>
  <si>
    <t>＋</t>
  </si>
  <si>
    <t>t1×1/2=④</t>
  </si>
  <si>
    <t>t1+1/2(B-t1)=⑤</t>
  </si>
  <si>
    <t>t1+1/2(B-t1)=⑥</t>
  </si>
  <si>
    <t>区分</t>
  </si>
  <si>
    <t>モーメント合計</t>
  </si>
  <si>
    <t>＝</t>
  </si>
  <si>
    <t>＝</t>
  </si>
  <si>
    <t>躯体・背面土　モーメントアーム（ｍ）</t>
  </si>
  <si>
    <t>躯体・背面土　モーメント（KN・m/m)</t>
  </si>
  <si>
    <t>ΣWx</t>
  </si>
  <si>
    <t>ΣWx/ΣW=</t>
  </si>
  <si>
    <t>÷</t>
  </si>
  <si>
    <t>設計諸元（ロ）</t>
  </si>
  <si>
    <t>上載荷重</t>
  </si>
  <si>
    <t>KN/㎡</t>
  </si>
  <si>
    <t>KN/㎡</t>
  </si>
  <si>
    <t>設計諸元（ハ）</t>
  </si>
  <si>
    <t>背面土質</t>
  </si>
  <si>
    <t>種類</t>
  </si>
  <si>
    <t>関東ローム</t>
  </si>
  <si>
    <t>内部摩擦角</t>
  </si>
  <si>
    <t>φ＝</t>
  </si>
  <si>
    <t>°</t>
  </si>
  <si>
    <t>粘着力</t>
  </si>
  <si>
    <t>C=</t>
  </si>
  <si>
    <t>壁背面と土の摩擦角</t>
  </si>
  <si>
    <t>安定計算時</t>
  </si>
  <si>
    <t>δ＝</t>
  </si>
  <si>
    <t>断面計算時</t>
  </si>
  <si>
    <t>2/3φ＝</t>
  </si>
  <si>
    <t>支持地盤</t>
  </si>
  <si>
    <t>許容地耐力</t>
  </si>
  <si>
    <t>摩擦係数</t>
  </si>
  <si>
    <t>fe=</t>
  </si>
  <si>
    <t>tanφ＝μ＝</t>
  </si>
  <si>
    <t>β＝</t>
  </si>
  <si>
    <t>背面土地表面と水平面勾配</t>
  </si>
  <si>
    <t>壁背面と鉛直面勾配</t>
  </si>
  <si>
    <t>θ＝</t>
  </si>
  <si>
    <t>KA=tan^2(45-φ/2)</t>
  </si>
  <si>
    <t>KA=</t>
  </si>
  <si>
    <t>(45-</t>
  </si>
  <si>
    <t>)</t>
  </si>
  <si>
    <t>tan^2</t>
  </si>
  <si>
    <t>β=δ=0°</t>
  </si>
  <si>
    <t>クーロン＝ランキン</t>
  </si>
  <si>
    <t>PA=</t>
  </si>
  <si>
    <t>×</t>
  </si>
  <si>
    <t>KN/㎡</t>
  </si>
  <si>
    <t>KN/ｍ</t>
  </si>
  <si>
    <t>背面土主働土圧による水平力</t>
  </si>
  <si>
    <t>背面土による主働土圧</t>
  </si>
  <si>
    <t>PAX=</t>
  </si>
  <si>
    <t>cos</t>
  </si>
  <si>
    <t>背面土主働土圧による鉛直力</t>
  </si>
  <si>
    <t>PAX=PA×cosδ</t>
  </si>
  <si>
    <t>PAY=PA×sinδ</t>
  </si>
  <si>
    <t>PAY=</t>
  </si>
  <si>
    <t>sin</t>
  </si>
  <si>
    <t>ｑ=</t>
  </si>
  <si>
    <t>△PA=KA×ｑ×H</t>
  </si>
  <si>
    <t>△PA=</t>
  </si>
  <si>
    <t>△PAX=</t>
  </si>
  <si>
    <t>△PAX=△PA×cosδ</t>
  </si>
  <si>
    <t>△PAY=△PA×sinδ</t>
  </si>
  <si>
    <t>△PAY=</t>
  </si>
  <si>
    <t>PAX；＝1/3H</t>
  </si>
  <si>
    <t>PAX；＝</t>
  </si>
  <si>
    <t>△PAX；＝1/2H</t>
  </si>
  <si>
    <t>△PAX；＝</t>
  </si>
  <si>
    <t>KN/ｍ</t>
  </si>
  <si>
    <t>KN/ｍ</t>
  </si>
  <si>
    <t>m</t>
  </si>
  <si>
    <t>自重</t>
  </si>
  <si>
    <t>重心</t>
  </si>
  <si>
    <t>背面上載荷重による土圧</t>
  </si>
  <si>
    <t>背面上載荷重土圧による水平力</t>
  </si>
  <si>
    <t>背面上載荷重土圧による鉛直力</t>
  </si>
  <si>
    <t>作用点の位置</t>
  </si>
  <si>
    <t>背面土主働土圧の水平力作用位置</t>
  </si>
  <si>
    <t>背面上載荷重土圧の水平力作用位置</t>
  </si>
  <si>
    <t>外力の集計</t>
  </si>
  <si>
    <t>鉛直力</t>
  </si>
  <si>
    <t>鉛直力</t>
  </si>
  <si>
    <t>自重</t>
  </si>
  <si>
    <t>PAY=</t>
  </si>
  <si>
    <t>主働土圧</t>
  </si>
  <si>
    <t>上載荷重土圧</t>
  </si>
  <si>
    <t>△PAY＝</t>
  </si>
  <si>
    <t>上載荷重</t>
  </si>
  <si>
    <t>ｑ×（B-ｔ1）＝⑦</t>
  </si>
  <si>
    <t>⑦＝</t>
  </si>
  <si>
    <t>水平力</t>
  </si>
  <si>
    <t>ΣW=</t>
  </si>
  <si>
    <t>△PAX=</t>
  </si>
  <si>
    <t>モーメント</t>
  </si>
  <si>
    <t>自重によるモーメント</t>
  </si>
  <si>
    <t>KN/ｍ</t>
  </si>
  <si>
    <t>合計</t>
  </si>
  <si>
    <t>ΣWx＝</t>
  </si>
  <si>
    <t>主働土圧によるモーメント</t>
  </si>
  <si>
    <t>PAX；=</t>
  </si>
  <si>
    <t>アーム</t>
  </si>
  <si>
    <t>PAX=</t>
  </si>
  <si>
    <t>PAXｍ＝</t>
  </si>
  <si>
    <t>上載荷重土圧によるモーメント</t>
  </si>
  <si>
    <t>△PAX：=</t>
  </si>
  <si>
    <t>△PAX=</t>
  </si>
  <si>
    <t>△PAXｍ＝</t>
  </si>
  <si>
    <t>上載荷重によるモーメント</t>
  </si>
  <si>
    <t>⑥＝</t>
  </si>
  <si>
    <t>モーメント</t>
  </si>
  <si>
    <t>ｑｍ＝</t>
  </si>
  <si>
    <t>KN・ｍ/ｍ</t>
  </si>
  <si>
    <t>KN・ｍ/ｍ</t>
  </si>
  <si>
    <t>安定計算</t>
  </si>
  <si>
    <t>転倒に対する検討</t>
  </si>
  <si>
    <t>転倒モーメント</t>
  </si>
  <si>
    <t>反方向モーメントΣH*y＝</t>
  </si>
  <si>
    <t>正方向モーメントΣV*x＝</t>
  </si>
  <si>
    <t>Mr=ΣV*x=</t>
  </si>
  <si>
    <t>対抗モーメント</t>
  </si>
  <si>
    <t>Mo=ΣH*y＝</t>
  </si>
  <si>
    <t>安全率</t>
  </si>
  <si>
    <t>＞</t>
  </si>
  <si>
    <t>滑り出しに対する検討</t>
  </si>
  <si>
    <t>水平力の総和</t>
  </si>
  <si>
    <t>ΣV=</t>
  </si>
  <si>
    <t>ΣH=</t>
  </si>
  <si>
    <t>滑動に対する抵抗力</t>
  </si>
  <si>
    <t>×</t>
  </si>
  <si>
    <t>滑動安全率</t>
  </si>
  <si>
    <t>ΣH=</t>
  </si>
  <si>
    <t>&gt;</t>
  </si>
  <si>
    <t>地盤支持力（接地圧）に対する検討</t>
  </si>
  <si>
    <t>合力の作用位置</t>
  </si>
  <si>
    <t>d=(Mr-Mo)/ΣV=</t>
  </si>
  <si>
    <t>÷</t>
  </si>
  <si>
    <t>偏心距離</t>
  </si>
  <si>
    <t>e=(B/2)-d=</t>
  </si>
  <si>
    <t>最大接地圧</t>
  </si>
  <si>
    <t>=</t>
  </si>
  <si>
    <t>=</t>
  </si>
  <si>
    <t>安全率</t>
  </si>
  <si>
    <t>F=fe/σmax=</t>
  </si>
  <si>
    <t>RH=ΣV・μ+C・（B-2e)</t>
  </si>
  <si>
    <t>＋</t>
  </si>
  <si>
    <t>cos^2(φ-θ）</t>
  </si>
  <si>
    <t>KA=</t>
  </si>
  <si>
    <t>sin(φ+δ)sin(φ‐β）</t>
  </si>
  <si>
    <t>cos(θ+δ)cos(θ-β)</t>
  </si>
  <si>
    <t>｝＾2</t>
  </si>
  <si>
    <t>cos^2θ・cos(θ＋δ）・｛1+√</t>
  </si>
  <si>
    <t>×</t>
  </si>
  <si>
    <t>cos^2θ・cos(θ＋δ）×｛1+√</t>
  </si>
  <si>
    <t>KA=</t>
  </si>
  <si>
    <t>KA=</t>
  </si>
  <si>
    <t>立壁（中央部）</t>
  </si>
  <si>
    <t>主働土圧係数（イ）</t>
  </si>
  <si>
    <t>PAX=1/2KA ・γ・h^2・cos(δ＋φ）＝</t>
  </si>
  <si>
    <t>h=1/2(H-t2)=</t>
  </si>
  <si>
    <t>×</t>
  </si>
  <si>
    <t>×</t>
  </si>
  <si>
    <t>×</t>
  </si>
  <si>
    <t>＝</t>
  </si>
  <si>
    <t>KN/m</t>
  </si>
  <si>
    <t>△PAX=KA ・q ・h ・cos(δ＋φ）＝</t>
  </si>
  <si>
    <t>M=PAX・1/3h+△PAX・1/2h＝</t>
  </si>
  <si>
    <t>＋</t>
  </si>
  <si>
    <t>10＾5</t>
  </si>
  <si>
    <t>（KN/m）</t>
  </si>
  <si>
    <t>KN/m</t>
  </si>
  <si>
    <t>Q=PAX+△PAX=</t>
  </si>
  <si>
    <t>（KN/m）</t>
  </si>
  <si>
    <t>10＾3</t>
  </si>
  <si>
    <t>Nｃｍ/m</t>
  </si>
  <si>
    <t>N/m</t>
  </si>
  <si>
    <t>cm</t>
  </si>
  <si>
    <t>設計諸元（ニ）</t>
  </si>
  <si>
    <t>コンクリート</t>
  </si>
  <si>
    <t>設計基準強度</t>
  </si>
  <si>
    <t>N/m㎡</t>
  </si>
  <si>
    <t>許容圧縮応力度</t>
  </si>
  <si>
    <t>σca=</t>
  </si>
  <si>
    <t>N/m㎡</t>
  </si>
  <si>
    <t>許容せん断応力度</t>
  </si>
  <si>
    <t>許容付着応力度</t>
  </si>
  <si>
    <t>τca=</t>
  </si>
  <si>
    <t>fa=</t>
  </si>
  <si>
    <t>鉄筋</t>
  </si>
  <si>
    <t>許容引張応力度</t>
  </si>
  <si>
    <t>鉄筋種類</t>
  </si>
  <si>
    <t>D13</t>
  </si>
  <si>
    <t>種類</t>
  </si>
  <si>
    <t>D10</t>
  </si>
  <si>
    <t>D16</t>
  </si>
  <si>
    <t>D19</t>
  </si>
  <si>
    <t>D22</t>
  </si>
  <si>
    <t>断面積c㎡</t>
  </si>
  <si>
    <t>周長cm</t>
  </si>
  <si>
    <t>鉄筋の選択</t>
  </si>
  <si>
    <t>被り厚の設定</t>
  </si>
  <si>
    <t>D=</t>
  </si>
  <si>
    <t>種類</t>
  </si>
  <si>
    <t>直径</t>
  </si>
  <si>
    <t>断面積</t>
  </si>
  <si>
    <t>周長</t>
  </si>
  <si>
    <t>t1=</t>
  </si>
  <si>
    <t>直径cm</t>
  </si>
  <si>
    <t>cm</t>
  </si>
  <si>
    <t>d=t1-D-鉄筋半径=</t>
  </si>
  <si>
    <t>推定鉄筋量</t>
  </si>
  <si>
    <t>÷</t>
  </si>
  <si>
    <t>N/c㎡</t>
  </si>
  <si>
    <t>c㎡/m</t>
  </si>
  <si>
    <t>必要鉄筋断面積</t>
  </si>
  <si>
    <t>必要鉄筋周長</t>
  </si>
  <si>
    <t>Φ＝Q/(fa・j)=</t>
  </si>
  <si>
    <t>N/m㎡</t>
  </si>
  <si>
    <t>N/c㎡</t>
  </si>
  <si>
    <t>cm/m</t>
  </si>
  <si>
    <t>必要量/単位断面積</t>
  </si>
  <si>
    <t>配筋量検討①</t>
  </si>
  <si>
    <t>配筋量検討②</t>
  </si>
  <si>
    <t>必要量/単位周長</t>
  </si>
  <si>
    <t>本/m</t>
  </si>
  <si>
    <t>mmピッチ</t>
  </si>
  <si>
    <t>配筋計画</t>
  </si>
  <si>
    <t>必要量より配筋ピッチを計画する</t>
  </si>
  <si>
    <t>応力照査</t>
  </si>
  <si>
    <t>応力中心間距離　j=7/8d=</t>
  </si>
  <si>
    <t>Es</t>
  </si>
  <si>
    <t>Ec</t>
  </si>
  <si>
    <t>cm</t>
  </si>
  <si>
    <t>鉄筋断面積総量</t>
  </si>
  <si>
    <t>×</t>
  </si>
  <si>
    <t>＝</t>
  </si>
  <si>
    <t>÷</t>
  </si>
  <si>
    <t>As=1000/@・単断面=</t>
  </si>
  <si>
    <t>ｐ＝As/(b・d)=</t>
  </si>
  <si>
    <t>＋</t>
  </si>
  <si>
    <t>k=√{2n*p+(n*p)^2｝-n*p=</t>
  </si>
  <si>
    <t>－</t>
  </si>
  <si>
    <t>√（</t>
  </si>
  <si>
    <t>）－</t>
  </si>
  <si>
    <t>J=1-(k/3)=</t>
  </si>
  <si>
    <t>コンクリートの曲げ圧縮応力度</t>
  </si>
  <si>
    <t>σc=2M/(k*J*b*d^2)=</t>
  </si>
  <si>
    <t>/（</t>
  </si>
  <si>
    <t>N/m㎡</t>
  </si>
  <si>
    <t>σca=コンクリートの曲げ圧縮応力度</t>
  </si>
  <si>
    <t>鉄筋の引張力度</t>
  </si>
  <si>
    <t>σs=M/(As*J*d)=</t>
  </si>
  <si>
    <t>)=</t>
  </si>
  <si>
    <t>σsa=鉄筋の引張応力度</t>
  </si>
  <si>
    <t>σca＞σｃ</t>
  </si>
  <si>
    <t>σsa＞σs</t>
  </si>
  <si>
    <t>単位長b=</t>
  </si>
  <si>
    <t>コンクリートのせん断応力度</t>
  </si>
  <si>
    <t>τc=Q/(b*d)=</t>
  </si>
  <si>
    <t>τca=コンクリートの曲げ圧縮応力度</t>
  </si>
  <si>
    <t>τca&gt;τc</t>
  </si>
  <si>
    <t>立壁（固定部）</t>
  </si>
  <si>
    <t>h=H-t2=</t>
  </si>
  <si>
    <t>中立軸までの距離</t>
  </si>
  <si>
    <t>底版（固定部）</t>
  </si>
  <si>
    <t>立壁断面に作用する外力の計算準備</t>
  </si>
  <si>
    <t>立壁面に架かる主働土圧係数</t>
  </si>
  <si>
    <t>擁壁（仮想背面）に及ぼす土圧</t>
  </si>
  <si>
    <t>応力の計算</t>
  </si>
  <si>
    <t>底版断面に作用する外力の計算準備　</t>
  </si>
  <si>
    <t>Xn=(B/2*｛1+(B/6e)}＝</t>
  </si>
  <si>
    <t>（</t>
  </si>
  <si>
    <t>×{</t>
  </si>
  <si>
    <t>＋</t>
  </si>
  <si>
    <t>}＝</t>
  </si>
  <si>
    <t>m</t>
  </si>
  <si>
    <t>KN/㎡</t>
  </si>
  <si>
    <t>)＝</t>
  </si>
  <si>
    <t>σmax=(ΣV/B)・{1+（6e/B)｝=</t>
  </si>
  <si>
    <t>V1=(Xn-0)/Xn*σmax=</t>
  </si>
  <si>
    <t>V2=Xn-t1/Xn*σmax=</t>
  </si>
  <si>
    <t>V3=Xn-B/Xn*σmax=</t>
  </si>
  <si>
    <t>W1=(H-t2)*γs)+(t2*r)+q=</t>
  </si>
  <si>
    <t>×</t>
  </si>
  <si>
    <t>（</t>
  </si>
  <si>
    <t>）/</t>
  </si>
  <si>
    <t>＝</t>
  </si>
  <si>
    <t>Q1=W1*(B-t1)=</t>
  </si>
  <si>
    <t>M1=(W1*(B-t1)^2)/2=</t>
  </si>
  <si>
    <t>Q2=(V2+V3)*(B-t1)/2=</t>
  </si>
  <si>
    <t>M2=(V2+2*V3)*(B-t1)^2/6=</t>
  </si>
  <si>
    <t>M=(M1-M2)*10^5</t>
  </si>
  <si>
    <t>Q=(Q1-Q2)*10^3</t>
  </si>
  <si>
    <t>底版（中央部）</t>
  </si>
  <si>
    <t>M1=(W1*｛(B-t1)/2｝^2)/2=</t>
  </si>
  <si>
    <t>Q1=W1*(B-t1)/2=</t>
  </si>
  <si>
    <t>Q2=｛(V2+V3)/2+V3｝*｛(B-t1)/2｝/2=</t>
  </si>
  <si>
    <t>M2=｛(V2+V3)/2+2＊V3｝*｛(B-t1)/2｝^2｝/6=</t>
  </si>
  <si>
    <t>単位体積重量（参考リスト）</t>
  </si>
  <si>
    <t>背面土</t>
  </si>
  <si>
    <t>鉄筋コンクリート</t>
  </si>
  <si>
    <t>KN/㎥</t>
  </si>
  <si>
    <t>KN/㎥</t>
  </si>
  <si>
    <t>砂質土</t>
  </si>
  <si>
    <t>18～19</t>
  </si>
  <si>
    <t>砂礫土</t>
  </si>
  <si>
    <t>16～18</t>
  </si>
  <si>
    <t>ｍ</t>
  </si>
  <si>
    <t>主働土圧係数（ロ）</t>
  </si>
  <si>
    <r>
      <t>背面土に架かる上載荷重</t>
    </r>
    <r>
      <rPr>
        <sz val="11"/>
        <color indexed="8"/>
        <rFont val="ＭＳ 明朝"/>
        <family val="1"/>
      </rPr>
      <t>　KN/ｍ</t>
    </r>
  </si>
  <si>
    <t>内部摩擦角</t>
  </si>
  <si>
    <t>粘着力</t>
  </si>
  <si>
    <t>関東ローム</t>
  </si>
  <si>
    <t>土　　質</t>
  </si>
  <si>
    <t>関東ローム</t>
  </si>
  <si>
    <t>シルト　粘土</t>
  </si>
  <si>
    <t>19～20</t>
  </si>
  <si>
    <t>岩</t>
  </si>
  <si>
    <t>20～</t>
  </si>
  <si>
    <t>シルト　粘土</t>
  </si>
  <si>
    <t>砂質土</t>
  </si>
  <si>
    <t>砂礫土</t>
  </si>
  <si>
    <t>～20</t>
  </si>
  <si>
    <t>15～20</t>
  </si>
  <si>
    <t>20～25</t>
  </si>
  <si>
    <t>～10</t>
  </si>
  <si>
    <t>25～30</t>
  </si>
  <si>
    <t>30～35</t>
  </si>
  <si>
    <t>～40</t>
  </si>
  <si>
    <t>支持地盤の土質は原位置試験結果による。</t>
  </si>
  <si>
    <t>背面土質条件（参考リスト）</t>
  </si>
  <si>
    <t>支持地盤の土質条件</t>
  </si>
  <si>
    <t>砂質土・砂礫土の場合はN値より内部摩擦角、許容地耐力の算出可</t>
  </si>
  <si>
    <t>D16</t>
  </si>
  <si>
    <t>ヤング係数比n</t>
  </si>
  <si>
    <t>応力照査</t>
  </si>
  <si>
    <t>コンクリートの曲げ圧縮応力度</t>
  </si>
  <si>
    <t>mmピッチとする。</t>
  </si>
  <si>
    <t>SD345標準使用</t>
  </si>
  <si>
    <t>SD295準用使用</t>
  </si>
  <si>
    <t>σck=</t>
  </si>
  <si>
    <t>σsa=</t>
  </si>
  <si>
    <t>at=M/(σsa・j)＝</t>
  </si>
  <si>
    <t>at=M/(σsa・j)＝</t>
  </si>
  <si>
    <t>γ＝</t>
  </si>
  <si>
    <t>γc=</t>
  </si>
  <si>
    <t>①×γc＝</t>
  </si>
  <si>
    <t>②×γc＝</t>
  </si>
  <si>
    <t>③×γ＝</t>
  </si>
  <si>
    <t>④×①γc＝</t>
  </si>
  <si>
    <t>⑤×②γc＝</t>
  </si>
  <si>
    <t>⑥×③γ＝</t>
  </si>
  <si>
    <t>PA=1/2KA×γ×H^2</t>
  </si>
  <si>
    <t>Fo=Mr/Mo=</t>
  </si>
  <si>
    <t>Fs=RH/ΣH＝</t>
  </si>
  <si>
    <t>粘着力(背面土C=0)</t>
  </si>
  <si>
    <t>L型擁壁の設計</t>
  </si>
  <si>
    <t>D13</t>
  </si>
  <si>
    <t>（有）ナミキ測量設計　04-2936-2012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</si>
</sst>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_ "/>
    <numFmt numFmtId="178" formatCode="0.00_ "/>
    <numFmt numFmtId="179" formatCode="0.000_ "/>
    <numFmt numFmtId="180" formatCode="0_ "/>
    <numFmt numFmtId="181" formatCode="0.0_);[Red]\(0.0\)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30"/>
      <name val="ＭＳ 明朝"/>
      <family val="1"/>
    </font>
    <font>
      <sz val="10"/>
      <color indexed="30"/>
      <name val="ＭＳ 明朝"/>
      <family val="1"/>
    </font>
    <font>
      <sz val="11"/>
      <color indexed="30"/>
      <name val="ＭＳ 明朝"/>
      <family val="1"/>
    </font>
    <font>
      <b/>
      <sz val="10"/>
      <color indexed="30"/>
      <name val="ＭＳ 明朝"/>
      <family val="1"/>
    </font>
    <font>
      <b/>
      <sz val="11"/>
      <color indexed="8"/>
      <name val="ＭＳ 明朝"/>
      <family val="1"/>
    </font>
    <font>
      <b/>
      <sz val="11"/>
      <color indexed="10"/>
      <name val="ＭＳ 明朝"/>
      <family val="1"/>
    </font>
    <font>
      <sz val="11"/>
      <name val="ＭＳ Ｐゴシック"/>
      <family val="3"/>
    </font>
    <font>
      <b/>
      <sz val="9"/>
      <color indexed="30"/>
      <name val="ＭＳ 明朝"/>
      <family val="1"/>
    </font>
    <font>
      <b/>
      <sz val="18"/>
      <color indexed="8"/>
      <name val="ＭＳ 明朝"/>
      <family val="1"/>
    </font>
    <font>
      <b/>
      <sz val="9.3"/>
      <color indexed="8"/>
      <name val="ＭＳ 明朝"/>
      <family val="1"/>
    </font>
    <font>
      <sz val="9.3"/>
      <color indexed="8"/>
      <name val="ＭＳ 明朝"/>
      <family val="1"/>
    </font>
    <font>
      <b/>
      <sz val="9.3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8"/>
      <color theme="1"/>
      <name val="ＭＳ 明朝"/>
      <family val="1"/>
    </font>
    <font>
      <b/>
      <sz val="10"/>
      <color theme="1"/>
      <name val="ＭＳ 明朝"/>
      <family val="1"/>
    </font>
    <font>
      <b/>
      <sz val="9.3"/>
      <color rgb="FFFF0000"/>
      <name val="ＭＳ 明朝"/>
      <family val="1"/>
    </font>
    <font>
      <b/>
      <sz val="11"/>
      <color rgb="FF0070C0"/>
      <name val="ＭＳ 明朝"/>
      <family val="1"/>
    </font>
    <font>
      <sz val="9.3"/>
      <color theme="1"/>
      <name val="ＭＳ 明朝"/>
      <family val="1"/>
    </font>
    <font>
      <sz val="10"/>
      <color rgb="FF0070C0"/>
      <name val="ＭＳ 明朝"/>
      <family val="1"/>
    </font>
    <font>
      <sz val="11"/>
      <color rgb="FF0070C0"/>
      <name val="ＭＳ 明朝"/>
      <family val="1"/>
    </font>
    <font>
      <b/>
      <sz val="10"/>
      <color rgb="FF0070C0"/>
      <name val="ＭＳ 明朝"/>
      <family val="1"/>
    </font>
    <font>
      <b/>
      <sz val="11"/>
      <color theme="1"/>
      <name val="ＭＳ 明朝"/>
      <family val="1"/>
    </font>
    <font>
      <b/>
      <sz val="10"/>
      <color rgb="FFFF0000"/>
      <name val="ＭＳ 明朝"/>
      <family val="1"/>
    </font>
    <font>
      <b/>
      <sz val="9.3"/>
      <color theme="1"/>
      <name val="ＭＳ 明朝"/>
      <family val="1"/>
    </font>
    <font>
      <b/>
      <sz val="11"/>
      <color rgb="FFFF0000"/>
      <name val="ＭＳ 明朝"/>
      <family val="1"/>
    </font>
    <font>
      <b/>
      <sz val="9"/>
      <color rgb="FF0070C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hair"/>
      <top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/>
      <top style="hair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26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76" fontId="55" fillId="0" borderId="0" xfId="0" applyNumberFormat="1" applyFont="1" applyAlignment="1">
      <alignment vertical="center"/>
    </xf>
    <xf numFmtId="176" fontId="55" fillId="0" borderId="0" xfId="0" applyNumberFormat="1" applyFont="1" applyAlignment="1">
      <alignment horizontal="right" vertical="center"/>
    </xf>
    <xf numFmtId="0" fontId="56" fillId="0" borderId="0" xfId="0" applyFont="1" applyAlignment="1">
      <alignment vertical="center"/>
    </xf>
    <xf numFmtId="0" fontId="54" fillId="0" borderId="0" xfId="60" applyFill="1" applyAlignment="1">
      <alignment vertical="center"/>
    </xf>
    <xf numFmtId="0" fontId="55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horizontal="right" vertical="center"/>
      <protection hidden="1"/>
    </xf>
    <xf numFmtId="176" fontId="60" fillId="0" borderId="0" xfId="0" applyNumberFormat="1" applyFont="1" applyAlignment="1" applyProtection="1">
      <alignment vertical="center"/>
      <protection hidden="1"/>
    </xf>
    <xf numFmtId="176" fontId="60" fillId="0" borderId="0" xfId="0" applyNumberFormat="1" applyFont="1" applyAlignment="1" applyProtection="1">
      <alignment horizontal="right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176" fontId="63" fillId="12" borderId="10" xfId="0" applyNumberFormat="1" applyFont="1" applyFill="1" applyBorder="1" applyAlignment="1" applyProtection="1">
      <alignment horizontal="center" vertical="center"/>
      <protection hidden="1"/>
    </xf>
    <xf numFmtId="176" fontId="63" fillId="12" borderId="11" xfId="0" applyNumberFormat="1" applyFont="1" applyFill="1" applyBorder="1" applyAlignment="1" applyProtection="1">
      <alignment horizontal="center" vertical="center"/>
      <protection hidden="1"/>
    </xf>
    <xf numFmtId="176" fontId="63" fillId="12" borderId="12" xfId="0" applyNumberFormat="1" applyFont="1" applyFill="1" applyBorder="1" applyAlignment="1" applyProtection="1">
      <alignment horizontal="center" vertical="center"/>
      <protection hidden="1"/>
    </xf>
    <xf numFmtId="176" fontId="63" fillId="12" borderId="13" xfId="0" applyNumberFormat="1" applyFont="1" applyFill="1" applyBorder="1" applyAlignment="1" applyProtection="1">
      <alignment horizontal="center" vertical="center"/>
      <protection hidden="1"/>
    </xf>
    <xf numFmtId="176" fontId="63" fillId="12" borderId="14" xfId="0" applyNumberFormat="1" applyFont="1" applyFill="1" applyBorder="1" applyAlignment="1" applyProtection="1">
      <alignment horizontal="center" vertical="center"/>
      <protection hidden="1"/>
    </xf>
    <xf numFmtId="176" fontId="63" fillId="12" borderId="15" xfId="0" applyNumberFormat="1" applyFont="1" applyFill="1" applyBorder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vertical="center"/>
      <protection hidden="1"/>
    </xf>
    <xf numFmtId="0" fontId="62" fillId="0" borderId="0" xfId="0" applyFont="1" applyAlignment="1" applyProtection="1">
      <alignment vertical="center"/>
      <protection hidden="1"/>
    </xf>
    <xf numFmtId="176" fontId="60" fillId="12" borderId="16" xfId="0" applyNumberFormat="1" applyFont="1" applyFill="1" applyBorder="1" applyAlignment="1" applyProtection="1">
      <alignment horizontal="center" vertical="center"/>
      <protection hidden="1"/>
    </xf>
    <xf numFmtId="176" fontId="65" fillId="12" borderId="17" xfId="0" applyNumberFormat="1" applyFont="1" applyFill="1" applyBorder="1" applyAlignment="1" applyProtection="1">
      <alignment horizontal="center" vertical="center"/>
      <protection hidden="1"/>
    </xf>
    <xf numFmtId="176" fontId="62" fillId="12" borderId="17" xfId="0" applyNumberFormat="1" applyFont="1" applyFill="1" applyBorder="1" applyAlignment="1" applyProtection="1">
      <alignment vertical="center"/>
      <protection hidden="1"/>
    </xf>
    <xf numFmtId="176" fontId="60" fillId="12" borderId="17" xfId="0" applyNumberFormat="1" applyFont="1" applyFill="1" applyBorder="1" applyAlignment="1" applyProtection="1">
      <alignment vertical="center"/>
      <protection hidden="1"/>
    </xf>
    <xf numFmtId="176" fontId="60" fillId="12" borderId="18" xfId="0" applyNumberFormat="1" applyFont="1" applyFill="1" applyBorder="1" applyAlignment="1" applyProtection="1">
      <alignment vertical="center"/>
      <protection hidden="1"/>
    </xf>
    <xf numFmtId="0" fontId="66" fillId="0" borderId="0" xfId="0" applyFont="1" applyAlignment="1" applyProtection="1">
      <alignment vertical="center"/>
      <protection hidden="1"/>
    </xf>
    <xf numFmtId="176" fontId="60" fillId="12" borderId="19" xfId="0" applyNumberFormat="1" applyFont="1" applyFill="1" applyBorder="1" applyAlignment="1" applyProtection="1">
      <alignment horizontal="center" vertical="center"/>
      <protection hidden="1"/>
    </xf>
    <xf numFmtId="176" fontId="65" fillId="12" borderId="20" xfId="0" applyNumberFormat="1" applyFont="1" applyFill="1" applyBorder="1" applyAlignment="1" applyProtection="1">
      <alignment horizontal="center" vertical="center"/>
      <protection hidden="1"/>
    </xf>
    <xf numFmtId="176" fontId="65" fillId="12" borderId="21" xfId="0" applyNumberFormat="1" applyFont="1" applyFill="1" applyBorder="1" applyAlignment="1" applyProtection="1">
      <alignment horizontal="center" vertical="center"/>
      <protection hidden="1"/>
    </xf>
    <xf numFmtId="176" fontId="62" fillId="12" borderId="22" xfId="0" applyNumberFormat="1" applyFont="1" applyFill="1" applyBorder="1" applyAlignment="1" applyProtection="1">
      <alignment vertical="center"/>
      <protection hidden="1"/>
    </xf>
    <xf numFmtId="176" fontId="60" fillId="12" borderId="22" xfId="0" applyNumberFormat="1" applyFont="1" applyFill="1" applyBorder="1" applyAlignment="1" applyProtection="1">
      <alignment vertical="center"/>
      <protection hidden="1"/>
    </xf>
    <xf numFmtId="176" fontId="60" fillId="12" borderId="23" xfId="0" applyNumberFormat="1" applyFont="1" applyFill="1" applyBorder="1" applyAlignment="1" applyProtection="1">
      <alignment vertical="center"/>
      <protection hidden="1"/>
    </xf>
    <xf numFmtId="0" fontId="67" fillId="0" borderId="0" xfId="0" applyFont="1" applyAlignment="1" applyProtection="1">
      <alignment vertical="center"/>
      <protection hidden="1"/>
    </xf>
    <xf numFmtId="0" fontId="68" fillId="0" borderId="0" xfId="0" applyFont="1" applyAlignment="1" applyProtection="1">
      <alignment vertical="center"/>
      <protection hidden="1"/>
    </xf>
    <xf numFmtId="177" fontId="4" fillId="0" borderId="0" xfId="0" applyNumberFormat="1" applyFont="1" applyFill="1" applyAlignment="1" applyProtection="1">
      <alignment horizontal="right" vertical="center"/>
      <protection hidden="1"/>
    </xf>
    <xf numFmtId="177" fontId="62" fillId="33" borderId="24" xfId="0" applyNumberFormat="1" applyFont="1" applyFill="1" applyBorder="1" applyAlignment="1" applyProtection="1">
      <alignment vertical="center"/>
      <protection hidden="1" locked="0"/>
    </xf>
    <xf numFmtId="176" fontId="60" fillId="12" borderId="20" xfId="0" applyNumberFormat="1" applyFont="1" applyFill="1" applyBorder="1" applyAlignment="1" applyProtection="1">
      <alignment horizontal="center" vertical="center"/>
      <protection hidden="1"/>
    </xf>
    <xf numFmtId="176" fontId="60" fillId="12" borderId="21" xfId="0" applyNumberFormat="1" applyFont="1" applyFill="1" applyBorder="1" applyAlignment="1" applyProtection="1">
      <alignment horizontal="center" vertical="center"/>
      <protection hidden="1"/>
    </xf>
    <xf numFmtId="177" fontId="4" fillId="0" borderId="0" xfId="0" applyNumberFormat="1" applyFont="1" applyAlignment="1" applyProtection="1">
      <alignment horizontal="right" vertical="center"/>
      <protection hidden="1"/>
    </xf>
    <xf numFmtId="180" fontId="62" fillId="12" borderId="22" xfId="0" applyNumberFormat="1" applyFont="1" applyFill="1" applyBorder="1" applyAlignment="1" applyProtection="1">
      <alignment horizontal="left" vertical="center"/>
      <protection hidden="1"/>
    </xf>
    <xf numFmtId="176" fontId="60" fillId="12" borderId="25" xfId="0" applyNumberFormat="1" applyFont="1" applyFill="1" applyBorder="1" applyAlignment="1" applyProtection="1">
      <alignment horizontal="center" vertical="center"/>
      <protection hidden="1"/>
    </xf>
    <xf numFmtId="176" fontId="60" fillId="12" borderId="26" xfId="0" applyNumberFormat="1" applyFont="1" applyFill="1" applyBorder="1" applyAlignment="1" applyProtection="1">
      <alignment horizontal="center" vertical="center"/>
      <protection hidden="1"/>
    </xf>
    <xf numFmtId="0" fontId="69" fillId="0" borderId="0" xfId="0" applyFont="1" applyAlignment="1" applyProtection="1">
      <alignment vertical="center"/>
      <protection hidden="1"/>
    </xf>
    <xf numFmtId="176" fontId="65" fillId="12" borderId="27" xfId="0" applyNumberFormat="1" applyFont="1" applyFill="1" applyBorder="1" applyAlignment="1" applyProtection="1">
      <alignment horizontal="center" vertical="center"/>
      <protection hidden="1"/>
    </xf>
    <xf numFmtId="176" fontId="65" fillId="12" borderId="28" xfId="0" applyNumberFormat="1" applyFont="1" applyFill="1" applyBorder="1" applyAlignment="1" applyProtection="1">
      <alignment horizontal="center" vertical="center"/>
      <protection hidden="1"/>
    </xf>
    <xf numFmtId="176" fontId="65" fillId="12" borderId="29" xfId="0" applyNumberFormat="1" applyFont="1" applyFill="1" applyBorder="1" applyAlignment="1" applyProtection="1">
      <alignment horizontal="center" vertical="center"/>
      <protection hidden="1"/>
    </xf>
    <xf numFmtId="177" fontId="62" fillId="12" borderId="30" xfId="0" applyNumberFormat="1" applyFont="1" applyFill="1" applyBorder="1" applyAlignment="1" applyProtection="1">
      <alignment horizontal="center" vertical="center"/>
      <protection hidden="1"/>
    </xf>
    <xf numFmtId="176" fontId="60" fillId="12" borderId="30" xfId="0" applyNumberFormat="1" applyFont="1" applyFill="1" applyBorder="1" applyAlignment="1" applyProtection="1">
      <alignment vertical="center"/>
      <protection hidden="1"/>
    </xf>
    <xf numFmtId="176" fontId="60" fillId="12" borderId="31" xfId="0" applyNumberFormat="1" applyFont="1" applyFill="1" applyBorder="1" applyAlignment="1" applyProtection="1">
      <alignment vertical="center"/>
      <protection hidden="1"/>
    </xf>
    <xf numFmtId="0" fontId="62" fillId="0" borderId="0" xfId="0" applyFont="1" applyAlignment="1" applyProtection="1">
      <alignment horizontal="right" vertical="center"/>
      <protection hidden="1"/>
    </xf>
    <xf numFmtId="178" fontId="70" fillId="33" borderId="24" xfId="0" applyNumberFormat="1" applyFont="1" applyFill="1" applyBorder="1" applyAlignment="1" applyProtection="1">
      <alignment vertical="center"/>
      <protection hidden="1" locked="0"/>
    </xf>
    <xf numFmtId="176" fontId="60" fillId="34" borderId="32" xfId="0" applyNumberFormat="1" applyFont="1" applyFill="1" applyBorder="1" applyAlignment="1" applyProtection="1">
      <alignment vertical="center"/>
      <protection hidden="1"/>
    </xf>
    <xf numFmtId="176" fontId="60" fillId="34" borderId="33" xfId="0" applyNumberFormat="1" applyFont="1" applyFill="1" applyBorder="1" applyAlignment="1" applyProtection="1">
      <alignment vertical="center"/>
      <protection hidden="1"/>
    </xf>
    <xf numFmtId="176" fontId="60" fillId="0" borderId="0" xfId="0" applyNumberFormat="1" applyFont="1" applyAlignment="1" applyProtection="1">
      <alignment horizontal="center" vertical="center"/>
      <protection hidden="1"/>
    </xf>
    <xf numFmtId="178" fontId="60" fillId="0" borderId="0" xfId="0" applyNumberFormat="1" applyFont="1" applyAlignment="1" applyProtection="1">
      <alignment vertical="center"/>
      <protection hidden="1"/>
    </xf>
    <xf numFmtId="178" fontId="60" fillId="0" borderId="0" xfId="0" applyNumberFormat="1" applyFont="1" applyAlignment="1" applyProtection="1">
      <alignment horizontal="center" vertical="center"/>
      <protection hidden="1"/>
    </xf>
    <xf numFmtId="176" fontId="60" fillId="34" borderId="34" xfId="0" applyNumberFormat="1" applyFont="1" applyFill="1" applyBorder="1" applyAlignment="1" applyProtection="1">
      <alignment vertical="center"/>
      <protection hidden="1"/>
    </xf>
    <xf numFmtId="176" fontId="60" fillId="34" borderId="35" xfId="0" applyNumberFormat="1" applyFont="1" applyFill="1" applyBorder="1" applyAlignment="1" applyProtection="1">
      <alignment vertical="center"/>
      <protection hidden="1"/>
    </xf>
    <xf numFmtId="176" fontId="60" fillId="34" borderId="36" xfId="0" applyNumberFormat="1" applyFont="1" applyFill="1" applyBorder="1" applyAlignment="1" applyProtection="1">
      <alignment vertical="center"/>
      <protection hidden="1"/>
    </xf>
    <xf numFmtId="177" fontId="60" fillId="0" borderId="0" xfId="0" applyNumberFormat="1" applyFont="1" applyAlignment="1" applyProtection="1">
      <alignment vertical="center"/>
      <protection hidden="1"/>
    </xf>
    <xf numFmtId="176" fontId="62" fillId="0" borderId="0" xfId="0" applyNumberFormat="1" applyFont="1" applyAlignment="1" applyProtection="1">
      <alignment vertical="center"/>
      <protection hidden="1"/>
    </xf>
    <xf numFmtId="181" fontId="60" fillId="0" borderId="0" xfId="0" applyNumberFormat="1" applyFont="1" applyAlignment="1" applyProtection="1">
      <alignment vertical="center"/>
      <protection hidden="1"/>
    </xf>
    <xf numFmtId="179" fontId="60" fillId="0" borderId="0" xfId="0" applyNumberFormat="1" applyFont="1" applyAlignment="1" applyProtection="1">
      <alignment vertical="center"/>
      <protection hidden="1"/>
    </xf>
    <xf numFmtId="176" fontId="62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76" fontId="55" fillId="0" borderId="0" xfId="0" applyNumberFormat="1" applyFont="1" applyAlignment="1" applyProtection="1">
      <alignment vertical="center"/>
      <protection hidden="1"/>
    </xf>
    <xf numFmtId="176" fontId="70" fillId="18" borderId="37" xfId="0" applyNumberFormat="1" applyFont="1" applyFill="1" applyBorder="1" applyAlignment="1" applyProtection="1">
      <alignment horizontal="center" vertical="center"/>
      <protection hidden="1"/>
    </xf>
    <xf numFmtId="176" fontId="70" fillId="18" borderId="38" xfId="0" applyNumberFormat="1" applyFont="1" applyFill="1" applyBorder="1" applyAlignment="1" applyProtection="1">
      <alignment horizontal="center" vertical="center"/>
      <protection hidden="1"/>
    </xf>
    <xf numFmtId="176" fontId="70" fillId="18" borderId="39" xfId="0" applyNumberFormat="1" applyFont="1" applyFill="1" applyBorder="1" applyAlignment="1" applyProtection="1">
      <alignment horizontal="center" vertical="center"/>
      <protection hidden="1"/>
    </xf>
    <xf numFmtId="0" fontId="4" fillId="33" borderId="24" xfId="0" applyFont="1" applyFill="1" applyBorder="1" applyAlignment="1" applyProtection="1">
      <alignment horizontal="center" vertical="center"/>
      <protection hidden="1" locked="0"/>
    </xf>
    <xf numFmtId="176" fontId="60" fillId="18" borderId="40" xfId="0" applyNumberFormat="1" applyFont="1" applyFill="1" applyBorder="1" applyAlignment="1" applyProtection="1">
      <alignment horizontal="center" vertical="center"/>
      <protection hidden="1"/>
    </xf>
    <xf numFmtId="176" fontId="60" fillId="18" borderId="41" xfId="0" applyNumberFormat="1" applyFont="1" applyFill="1" applyBorder="1" applyAlignment="1" applyProtection="1">
      <alignment horizontal="center" vertical="center"/>
      <protection hidden="1"/>
    </xf>
    <xf numFmtId="176" fontId="60" fillId="18" borderId="42" xfId="0" applyNumberFormat="1" applyFont="1" applyFill="1" applyBorder="1" applyAlignment="1" applyProtection="1">
      <alignment horizontal="center" vertical="center"/>
      <protection hidden="1"/>
    </xf>
    <xf numFmtId="176" fontId="60" fillId="0" borderId="0" xfId="0" applyNumberFormat="1" applyFont="1" applyFill="1" applyAlignment="1" applyProtection="1">
      <alignment vertical="center"/>
      <protection hidden="1"/>
    </xf>
    <xf numFmtId="176" fontId="60" fillId="18" borderId="25" xfId="0" applyNumberFormat="1" applyFont="1" applyFill="1" applyBorder="1" applyAlignment="1" applyProtection="1">
      <alignment horizontal="center" vertical="center"/>
      <protection hidden="1"/>
    </xf>
    <xf numFmtId="176" fontId="60" fillId="18" borderId="17" xfId="0" applyNumberFormat="1" applyFont="1" applyFill="1" applyBorder="1" applyAlignment="1" applyProtection="1">
      <alignment horizontal="center" vertical="center"/>
      <protection hidden="1"/>
    </xf>
    <xf numFmtId="176" fontId="60" fillId="18" borderId="18" xfId="0" applyNumberFormat="1" applyFont="1" applyFill="1" applyBorder="1" applyAlignment="1" applyProtection="1">
      <alignment horizontal="center" vertical="center"/>
      <protection hidden="1"/>
    </xf>
    <xf numFmtId="176" fontId="60" fillId="18" borderId="43" xfId="0" applyNumberFormat="1" applyFont="1" applyFill="1" applyBorder="1" applyAlignment="1" applyProtection="1">
      <alignment horizontal="center" vertical="center"/>
      <protection hidden="1"/>
    </xf>
    <xf numFmtId="176" fontId="60" fillId="18" borderId="22" xfId="0" applyNumberFormat="1" applyFont="1" applyFill="1" applyBorder="1" applyAlignment="1" applyProtection="1">
      <alignment horizontal="center" vertical="center"/>
      <protection hidden="1"/>
    </xf>
    <xf numFmtId="176" fontId="60" fillId="18" borderId="23" xfId="0" applyNumberFormat="1" applyFont="1" applyFill="1" applyBorder="1" applyAlignment="1" applyProtection="1">
      <alignment horizontal="center" vertical="center"/>
      <protection hidden="1"/>
    </xf>
    <xf numFmtId="180" fontId="60" fillId="18" borderId="22" xfId="0" applyNumberFormat="1" applyFont="1" applyFill="1" applyBorder="1" applyAlignment="1" applyProtection="1">
      <alignment horizontal="center" vertical="center"/>
      <protection hidden="1"/>
    </xf>
    <xf numFmtId="180" fontId="60" fillId="18" borderId="23" xfId="0" applyNumberFormat="1" applyFont="1" applyFill="1" applyBorder="1" applyAlignment="1" applyProtection="1">
      <alignment horizontal="center" vertical="center"/>
      <protection hidden="1"/>
    </xf>
    <xf numFmtId="176" fontId="60" fillId="18" borderId="44" xfId="0" applyNumberFormat="1" applyFont="1" applyFill="1" applyBorder="1" applyAlignment="1" applyProtection="1">
      <alignment horizontal="center" vertical="center"/>
      <protection hidden="1"/>
    </xf>
    <xf numFmtId="176" fontId="60" fillId="18" borderId="30" xfId="0" applyNumberFormat="1" applyFont="1" applyFill="1" applyBorder="1" applyAlignment="1" applyProtection="1">
      <alignment horizontal="center" vertical="center"/>
      <protection hidden="1"/>
    </xf>
    <xf numFmtId="180" fontId="60" fillId="18" borderId="30" xfId="0" applyNumberFormat="1" applyFont="1" applyFill="1" applyBorder="1" applyAlignment="1" applyProtection="1">
      <alignment horizontal="center" vertical="center"/>
      <protection hidden="1"/>
    </xf>
    <xf numFmtId="180" fontId="60" fillId="18" borderId="31" xfId="0" applyNumberFormat="1" applyFont="1" applyFill="1" applyBorder="1" applyAlignment="1" applyProtection="1">
      <alignment horizontal="center" vertical="center"/>
      <protection hidden="1"/>
    </xf>
    <xf numFmtId="176" fontId="60" fillId="0" borderId="0" xfId="0" applyNumberFormat="1" applyFont="1" applyFill="1" applyAlignment="1" applyProtection="1">
      <alignment horizontal="right" vertical="center"/>
      <protection hidden="1"/>
    </xf>
    <xf numFmtId="178" fontId="62" fillId="0" borderId="0" xfId="0" applyNumberFormat="1" applyFont="1" applyAlignment="1" applyProtection="1">
      <alignment vertical="center"/>
      <protection hidden="1"/>
    </xf>
    <xf numFmtId="176" fontId="70" fillId="18" borderId="45" xfId="0" applyNumberFormat="1" applyFont="1" applyFill="1" applyBorder="1" applyAlignment="1" applyProtection="1">
      <alignment horizontal="center" vertical="center"/>
      <protection hidden="1"/>
    </xf>
    <xf numFmtId="176" fontId="70" fillId="18" borderId="46" xfId="0" applyNumberFormat="1" applyFont="1" applyFill="1" applyBorder="1" applyAlignment="1" applyProtection="1">
      <alignment horizontal="center" vertical="center"/>
      <protection hidden="1"/>
    </xf>
    <xf numFmtId="176" fontId="70" fillId="18" borderId="47" xfId="0" applyNumberFormat="1" applyFont="1" applyFill="1" applyBorder="1" applyAlignment="1" applyProtection="1">
      <alignment horizontal="center" vertical="center"/>
      <protection hidden="1"/>
    </xf>
    <xf numFmtId="0" fontId="62" fillId="33" borderId="24" xfId="0" applyFont="1" applyFill="1" applyBorder="1" applyAlignment="1" applyProtection="1">
      <alignment horizontal="center" vertical="center"/>
      <protection hidden="1" locked="0"/>
    </xf>
    <xf numFmtId="176" fontId="60" fillId="18" borderId="48" xfId="0" applyNumberFormat="1" applyFont="1" applyFill="1" applyBorder="1" applyAlignment="1" applyProtection="1">
      <alignment horizontal="left" vertical="center"/>
      <protection hidden="1"/>
    </xf>
    <xf numFmtId="176" fontId="60" fillId="18" borderId="49" xfId="0" applyNumberFormat="1" applyFont="1" applyFill="1" applyBorder="1" applyAlignment="1" applyProtection="1">
      <alignment horizontal="left" vertical="center"/>
      <protection hidden="1"/>
    </xf>
    <xf numFmtId="176" fontId="60" fillId="18" borderId="50" xfId="0" applyNumberFormat="1" applyFont="1" applyFill="1" applyBorder="1" applyAlignment="1" applyProtection="1">
      <alignment horizontal="left" vertical="center"/>
      <protection hidden="1"/>
    </xf>
    <xf numFmtId="176" fontId="60" fillId="18" borderId="27" xfId="0" applyNumberFormat="1" applyFont="1" applyFill="1" applyBorder="1" applyAlignment="1" applyProtection="1">
      <alignment horizontal="left" vertical="center"/>
      <protection hidden="1"/>
    </xf>
    <xf numFmtId="176" fontId="60" fillId="18" borderId="28" xfId="0" applyNumberFormat="1" applyFont="1" applyFill="1" applyBorder="1" applyAlignment="1" applyProtection="1">
      <alignment horizontal="left" vertical="center"/>
      <protection hidden="1"/>
    </xf>
    <xf numFmtId="176" fontId="60" fillId="18" borderId="51" xfId="0" applyNumberFormat="1" applyFont="1" applyFill="1" applyBorder="1" applyAlignment="1" applyProtection="1">
      <alignment horizontal="left" vertical="center"/>
      <protection hidden="1"/>
    </xf>
    <xf numFmtId="179" fontId="4" fillId="0" borderId="0" xfId="0" applyNumberFormat="1" applyFont="1" applyAlignment="1" applyProtection="1">
      <alignment vertic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178" fontId="60" fillId="0" borderId="0" xfId="0" applyNumberFormat="1" applyFont="1" applyAlignment="1" applyProtection="1">
      <alignment horizontal="right" vertical="center"/>
      <protection hidden="1"/>
    </xf>
    <xf numFmtId="179" fontId="62" fillId="0" borderId="0" xfId="0" applyNumberFormat="1" applyFont="1" applyAlignment="1" applyProtection="1">
      <alignment vertical="center"/>
      <protection hidden="1"/>
    </xf>
    <xf numFmtId="0" fontId="62" fillId="0" borderId="0" xfId="0" applyFont="1" applyAlignment="1" applyProtection="1">
      <alignment horizontal="right" vertical="center"/>
      <protection hidden="1"/>
    </xf>
    <xf numFmtId="0" fontId="71" fillId="0" borderId="14" xfId="0" applyFont="1" applyBorder="1" applyAlignment="1" applyProtection="1">
      <alignment horizontal="center" vertical="center"/>
      <protection hidden="1"/>
    </xf>
    <xf numFmtId="0" fontId="71" fillId="0" borderId="52" xfId="0" applyFont="1" applyBorder="1" applyAlignment="1" applyProtection="1">
      <alignment horizontal="center" vertical="center"/>
      <protection hidden="1"/>
    </xf>
    <xf numFmtId="176" fontId="71" fillId="0" borderId="53" xfId="0" applyNumberFormat="1" applyFont="1" applyBorder="1" applyAlignment="1" applyProtection="1">
      <alignment horizontal="center" vertical="center"/>
      <protection hidden="1"/>
    </xf>
    <xf numFmtId="176" fontId="62" fillId="0" borderId="0" xfId="0" applyNumberFormat="1" applyFont="1" applyAlignment="1" applyProtection="1">
      <alignment horizontal="left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176" fontId="71" fillId="0" borderId="52" xfId="0" applyNumberFormat="1" applyFont="1" applyBorder="1" applyAlignment="1" applyProtection="1">
      <alignment horizontal="center" vertical="center"/>
      <protection hidden="1"/>
    </xf>
    <xf numFmtId="176" fontId="60" fillId="0" borderId="0" xfId="0" applyNumberFormat="1" applyFont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right" vertical="center"/>
      <protection hidden="1"/>
    </xf>
    <xf numFmtId="0" fontId="65" fillId="0" borderId="14" xfId="0" applyFont="1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horizontal="right" vertical="center"/>
      <protection hidden="1"/>
    </xf>
    <xf numFmtId="176" fontId="65" fillId="0" borderId="14" xfId="0" applyNumberFormat="1" applyFont="1" applyBorder="1" applyAlignment="1" applyProtection="1">
      <alignment horizontal="center" vertical="center"/>
      <protection hidden="1"/>
    </xf>
    <xf numFmtId="176" fontId="60" fillId="0" borderId="0" xfId="0" applyNumberFormat="1" applyFont="1" applyAlignment="1" applyProtection="1">
      <alignment horizontal="left" vertical="center"/>
      <protection hidden="1"/>
    </xf>
    <xf numFmtId="176" fontId="65" fillId="0" borderId="0" xfId="0" applyNumberFormat="1" applyFont="1" applyAlignment="1" applyProtection="1">
      <alignment horizontal="center" vertical="center"/>
      <protection hidden="1"/>
    </xf>
    <xf numFmtId="0" fontId="65" fillId="0" borderId="52" xfId="0" applyFont="1" applyBorder="1" applyAlignment="1" applyProtection="1">
      <alignment horizontal="right" vertical="top"/>
      <protection hidden="1"/>
    </xf>
    <xf numFmtId="176" fontId="60" fillId="0" borderId="52" xfId="0" applyNumberFormat="1" applyFont="1" applyBorder="1" applyAlignment="1" applyProtection="1">
      <alignment horizontal="center" vertical="top"/>
      <protection hidden="1"/>
    </xf>
    <xf numFmtId="176" fontId="65" fillId="0" borderId="52" xfId="0" applyNumberFormat="1" applyFont="1" applyBorder="1" applyAlignment="1" applyProtection="1">
      <alignment horizontal="left" vertical="top"/>
      <protection hidden="1"/>
    </xf>
    <xf numFmtId="0" fontId="65" fillId="0" borderId="0" xfId="0" applyFont="1" applyAlignment="1" applyProtection="1">
      <alignment horizontal="right" vertical="top"/>
      <protection hidden="1"/>
    </xf>
    <xf numFmtId="176" fontId="60" fillId="0" borderId="0" xfId="0" applyNumberFormat="1" applyFont="1" applyAlignment="1" applyProtection="1">
      <alignment horizontal="center" vertical="top"/>
      <protection hidden="1"/>
    </xf>
    <xf numFmtId="176" fontId="65" fillId="0" borderId="0" xfId="0" applyNumberFormat="1" applyFont="1" applyAlignment="1" applyProtection="1">
      <alignment horizontal="left" vertical="top"/>
      <protection hidden="1"/>
    </xf>
    <xf numFmtId="176" fontId="4" fillId="0" borderId="0" xfId="0" applyNumberFormat="1" applyFont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horizontal="right" vertical="center"/>
      <protection hidden="1"/>
    </xf>
    <xf numFmtId="0" fontId="62" fillId="0" borderId="0" xfId="0" applyFont="1" applyFill="1" applyAlignment="1" applyProtection="1">
      <alignment vertical="center"/>
      <protection hidden="1"/>
    </xf>
    <xf numFmtId="0" fontId="62" fillId="0" borderId="0" xfId="0" applyFont="1" applyFill="1" applyAlignment="1" applyProtection="1">
      <alignment horizontal="right" vertical="center"/>
      <protection hidden="1"/>
    </xf>
    <xf numFmtId="176" fontId="62" fillId="0" borderId="0" xfId="0" applyNumberFormat="1" applyFont="1" applyFill="1" applyAlignment="1" applyProtection="1">
      <alignment vertical="center"/>
      <protection hidden="1"/>
    </xf>
    <xf numFmtId="177" fontId="62" fillId="0" borderId="0" xfId="0" applyNumberFormat="1" applyFont="1" applyFill="1" applyAlignment="1" applyProtection="1">
      <alignment vertical="center"/>
      <protection hidden="1"/>
    </xf>
    <xf numFmtId="0" fontId="72" fillId="0" borderId="0" xfId="0" applyNumberFormat="1" applyFont="1" applyFill="1" applyAlignment="1" applyProtection="1">
      <alignment horizontal="center" vertical="center"/>
      <protection hidden="1"/>
    </xf>
    <xf numFmtId="0" fontId="69" fillId="0" borderId="0" xfId="0" applyFont="1" applyFill="1" applyAlignment="1" applyProtection="1">
      <alignment vertical="center"/>
      <protection hidden="1"/>
    </xf>
    <xf numFmtId="176" fontId="60" fillId="0" borderId="0" xfId="0" applyNumberFormat="1" applyFont="1" applyFill="1" applyAlignment="1" applyProtection="1">
      <alignment horizontal="center" vertical="center"/>
      <protection hidden="1"/>
    </xf>
    <xf numFmtId="176" fontId="60" fillId="0" borderId="0" xfId="0" applyNumberFormat="1" applyFont="1" applyFill="1" applyAlignment="1" applyProtection="1">
      <alignment vertical="center"/>
      <protection hidden="1"/>
    </xf>
    <xf numFmtId="0" fontId="59" fillId="0" borderId="0" xfId="0" applyFont="1" applyFill="1" applyAlignment="1" applyProtection="1">
      <alignment vertical="center"/>
      <protection hidden="1"/>
    </xf>
    <xf numFmtId="0" fontId="62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Alignment="1" applyProtection="1">
      <alignment vertical="center"/>
      <protection hidden="1"/>
    </xf>
    <xf numFmtId="176" fontId="62" fillId="0" borderId="0" xfId="0" applyNumberFormat="1" applyFont="1" applyFill="1" applyAlignment="1" applyProtection="1">
      <alignment vertical="center"/>
      <protection hidden="1"/>
    </xf>
    <xf numFmtId="176" fontId="62" fillId="0" borderId="0" xfId="0" applyNumberFormat="1" applyFont="1" applyFill="1" applyAlignment="1" applyProtection="1">
      <alignment horizontal="center" vertical="center"/>
      <protection hidden="1"/>
    </xf>
    <xf numFmtId="177" fontId="62" fillId="0" borderId="0" xfId="0" applyNumberFormat="1" applyFont="1" applyFill="1" applyAlignment="1" applyProtection="1">
      <alignment vertical="center"/>
      <protection hidden="1"/>
    </xf>
    <xf numFmtId="176" fontId="72" fillId="0" borderId="0" xfId="0" applyNumberFormat="1" applyFont="1" applyFill="1" applyAlignment="1" applyProtection="1">
      <alignment horizontal="center" vertical="center"/>
      <protection hidden="1"/>
    </xf>
    <xf numFmtId="176" fontId="62" fillId="0" borderId="0" xfId="0" applyNumberFormat="1" applyFont="1" applyFill="1" applyAlignment="1" applyProtection="1">
      <alignment horizontal="right" vertical="center"/>
      <protection hidden="1"/>
    </xf>
    <xf numFmtId="178" fontId="62" fillId="0" borderId="0" xfId="0" applyNumberFormat="1" applyFont="1" applyFill="1" applyAlignment="1" applyProtection="1">
      <alignment vertical="center"/>
      <protection hidden="1"/>
    </xf>
    <xf numFmtId="0" fontId="64" fillId="0" borderId="0" xfId="0" applyFont="1" applyFill="1" applyAlignment="1" applyProtection="1">
      <alignment vertical="center"/>
      <protection hidden="1"/>
    </xf>
    <xf numFmtId="0" fontId="68" fillId="0" borderId="0" xfId="0" applyFont="1" applyFill="1" applyAlignment="1" applyProtection="1">
      <alignment vertical="center"/>
      <protection hidden="1"/>
    </xf>
    <xf numFmtId="178" fontId="62" fillId="0" borderId="11" xfId="0" applyNumberFormat="1" applyFont="1" applyFill="1" applyBorder="1" applyAlignment="1" applyProtection="1">
      <alignment vertical="center"/>
      <protection hidden="1"/>
    </xf>
    <xf numFmtId="178" fontId="62" fillId="0" borderId="0" xfId="0" applyNumberFormat="1" applyFont="1" applyFill="1" applyBorder="1" applyAlignment="1" applyProtection="1">
      <alignment vertical="center"/>
      <protection hidden="1"/>
    </xf>
    <xf numFmtId="180" fontId="62" fillId="0" borderId="0" xfId="0" applyNumberFormat="1" applyFont="1" applyFill="1" applyAlignment="1" applyProtection="1">
      <alignment vertical="center"/>
      <protection hidden="1"/>
    </xf>
    <xf numFmtId="176" fontId="68" fillId="6" borderId="37" xfId="0" applyNumberFormat="1" applyFont="1" applyFill="1" applyBorder="1" applyAlignment="1" applyProtection="1">
      <alignment horizontal="center" vertical="center"/>
      <protection hidden="1"/>
    </xf>
    <xf numFmtId="176" fontId="68" fillId="6" borderId="38" xfId="0" applyNumberFormat="1" applyFont="1" applyFill="1" applyBorder="1" applyAlignment="1" applyProtection="1">
      <alignment horizontal="center" vertical="center"/>
      <protection hidden="1"/>
    </xf>
    <xf numFmtId="176" fontId="68" fillId="6" borderId="39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Alignment="1" applyProtection="1">
      <alignment vertical="center"/>
      <protection hidden="1"/>
    </xf>
    <xf numFmtId="176" fontId="62" fillId="6" borderId="25" xfId="0" applyNumberFormat="1" applyFont="1" applyFill="1" applyBorder="1" applyAlignment="1" applyProtection="1">
      <alignment horizontal="center" vertical="center"/>
      <protection hidden="1"/>
    </xf>
    <xf numFmtId="178" fontId="62" fillId="6" borderId="17" xfId="0" applyNumberFormat="1" applyFont="1" applyFill="1" applyBorder="1" applyAlignment="1" applyProtection="1">
      <alignment horizontal="center" vertical="center"/>
      <protection hidden="1"/>
    </xf>
    <xf numFmtId="176" fontId="62" fillId="6" borderId="17" xfId="0" applyNumberFormat="1" applyFont="1" applyFill="1" applyBorder="1" applyAlignment="1" applyProtection="1">
      <alignment horizontal="center" vertical="center"/>
      <protection hidden="1"/>
    </xf>
    <xf numFmtId="177" fontId="62" fillId="6" borderId="18" xfId="0" applyNumberFormat="1" applyFont="1" applyFill="1" applyBorder="1" applyAlignment="1" applyProtection="1">
      <alignment horizontal="center" vertical="center"/>
      <protection hidden="1"/>
    </xf>
    <xf numFmtId="176" fontId="62" fillId="6" borderId="43" xfId="0" applyNumberFormat="1" applyFont="1" applyFill="1" applyBorder="1" applyAlignment="1" applyProtection="1">
      <alignment horizontal="center" vertical="center"/>
      <protection hidden="1"/>
    </xf>
    <xf numFmtId="178" fontId="4" fillId="6" borderId="22" xfId="0" applyNumberFormat="1" applyFont="1" applyFill="1" applyBorder="1" applyAlignment="1" applyProtection="1">
      <alignment horizontal="center" vertical="center"/>
      <protection hidden="1"/>
    </xf>
    <xf numFmtId="176" fontId="62" fillId="6" borderId="22" xfId="0" applyNumberFormat="1" applyFont="1" applyFill="1" applyBorder="1" applyAlignment="1" applyProtection="1">
      <alignment horizontal="center" vertical="center"/>
      <protection hidden="1"/>
    </xf>
    <xf numFmtId="177" fontId="62" fillId="6" borderId="23" xfId="0" applyNumberFormat="1" applyFont="1" applyFill="1" applyBorder="1" applyAlignment="1" applyProtection="1">
      <alignment horizontal="center" vertical="center"/>
      <protection hidden="1"/>
    </xf>
    <xf numFmtId="178" fontId="62" fillId="6" borderId="22" xfId="0" applyNumberFormat="1" applyFont="1" applyFill="1" applyBorder="1" applyAlignment="1" applyProtection="1">
      <alignment horizontal="center" vertical="center"/>
      <protection hidden="1"/>
    </xf>
    <xf numFmtId="176" fontId="62" fillId="6" borderId="44" xfId="0" applyNumberFormat="1" applyFont="1" applyFill="1" applyBorder="1" applyAlignment="1" applyProtection="1">
      <alignment horizontal="center" vertical="center"/>
      <protection hidden="1"/>
    </xf>
    <xf numFmtId="178" fontId="62" fillId="6" borderId="30" xfId="0" applyNumberFormat="1" applyFont="1" applyFill="1" applyBorder="1" applyAlignment="1" applyProtection="1">
      <alignment horizontal="center" vertical="center"/>
      <protection hidden="1"/>
    </xf>
    <xf numFmtId="176" fontId="62" fillId="6" borderId="30" xfId="0" applyNumberFormat="1" applyFont="1" applyFill="1" applyBorder="1" applyAlignment="1" applyProtection="1">
      <alignment horizontal="center" vertical="center"/>
      <protection hidden="1"/>
    </xf>
    <xf numFmtId="177" fontId="62" fillId="6" borderId="31" xfId="0" applyNumberFormat="1" applyFont="1" applyFill="1" applyBorder="1" applyAlignment="1" applyProtection="1">
      <alignment horizontal="center" vertical="center"/>
      <protection hidden="1"/>
    </xf>
    <xf numFmtId="178" fontId="62" fillId="0" borderId="0" xfId="0" applyNumberFormat="1" applyFont="1" applyFill="1" applyAlignment="1" applyProtection="1">
      <alignment horizontal="center" vertical="center"/>
      <protection hidden="1"/>
    </xf>
    <xf numFmtId="177" fontId="62" fillId="0" borderId="0" xfId="0" applyNumberFormat="1" applyFont="1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right" vertical="center"/>
      <protection hidden="1"/>
    </xf>
    <xf numFmtId="0" fontId="71" fillId="0" borderId="14" xfId="0" applyFont="1" applyFill="1" applyBorder="1" applyAlignment="1" applyProtection="1">
      <alignment horizontal="center" vertical="center"/>
      <protection hidden="1"/>
    </xf>
    <xf numFmtId="0" fontId="71" fillId="0" borderId="0" xfId="0" applyFont="1" applyFill="1" applyAlignment="1" applyProtection="1">
      <alignment horizontal="right" vertical="center"/>
      <protection hidden="1"/>
    </xf>
    <xf numFmtId="176" fontId="71" fillId="0" borderId="53" xfId="0" applyNumberFormat="1" applyFont="1" applyFill="1" applyBorder="1" applyAlignment="1" applyProtection="1">
      <alignment horizontal="center" vertical="center"/>
      <protection hidden="1"/>
    </xf>
    <xf numFmtId="176" fontId="62" fillId="0" borderId="0" xfId="0" applyNumberFormat="1" applyFont="1" applyFill="1" applyAlignment="1" applyProtection="1">
      <alignment horizontal="left" vertical="center"/>
      <protection hidden="1"/>
    </xf>
    <xf numFmtId="176" fontId="71" fillId="0" borderId="52" xfId="0" applyNumberFormat="1" applyFont="1" applyFill="1" applyBorder="1" applyAlignment="1" applyProtection="1">
      <alignment horizontal="center" vertical="center"/>
      <protection hidden="1"/>
    </xf>
    <xf numFmtId="176" fontId="60" fillId="0" borderId="0" xfId="0" applyNumberFormat="1" applyFont="1" applyFill="1" applyAlignment="1" applyProtection="1">
      <alignment horizontal="left" vertical="center"/>
      <protection hidden="1"/>
    </xf>
    <xf numFmtId="0" fontId="60" fillId="0" borderId="0" xfId="0" applyFont="1" applyFill="1" applyAlignment="1" applyProtection="1">
      <alignment horizontal="right" vertical="center"/>
      <protection hidden="1"/>
    </xf>
    <xf numFmtId="0" fontId="65" fillId="0" borderId="14" xfId="0" applyFont="1" applyFill="1" applyBorder="1" applyAlignment="1" applyProtection="1">
      <alignment horizontal="center" vertical="center"/>
      <protection hidden="1"/>
    </xf>
    <xf numFmtId="0" fontId="65" fillId="0" borderId="0" xfId="0" applyFont="1" applyFill="1" applyAlignment="1" applyProtection="1">
      <alignment horizontal="right" vertical="center"/>
      <protection hidden="1"/>
    </xf>
    <xf numFmtId="176" fontId="65" fillId="0" borderId="14" xfId="0" applyNumberFormat="1" applyFont="1" applyFill="1" applyBorder="1" applyAlignment="1" applyProtection="1">
      <alignment horizontal="center" vertical="center"/>
      <protection hidden="1"/>
    </xf>
    <xf numFmtId="176" fontId="60" fillId="0" borderId="0" xfId="0" applyNumberFormat="1" applyFont="1" applyFill="1" applyAlignment="1" applyProtection="1">
      <alignment horizontal="left" vertical="center"/>
      <protection hidden="1"/>
    </xf>
    <xf numFmtId="176" fontId="65" fillId="0" borderId="0" xfId="0" applyNumberFormat="1" applyFont="1" applyFill="1" applyAlignment="1" applyProtection="1">
      <alignment horizontal="center" vertical="center"/>
      <protection hidden="1"/>
    </xf>
    <xf numFmtId="0" fontId="65" fillId="0" borderId="14" xfId="0" applyFont="1" applyFill="1" applyBorder="1" applyAlignment="1" applyProtection="1">
      <alignment horizontal="center"/>
      <protection hidden="1"/>
    </xf>
    <xf numFmtId="0" fontId="65" fillId="0" borderId="52" xfId="0" applyFont="1" applyFill="1" applyBorder="1" applyAlignment="1" applyProtection="1">
      <alignment horizontal="right" vertical="top"/>
      <protection hidden="1"/>
    </xf>
    <xf numFmtId="176" fontId="60" fillId="0" borderId="52" xfId="0" applyNumberFormat="1" applyFont="1" applyFill="1" applyBorder="1" applyAlignment="1" applyProtection="1">
      <alignment horizontal="center" vertical="top"/>
      <protection hidden="1"/>
    </xf>
    <xf numFmtId="176" fontId="65" fillId="0" borderId="52" xfId="0" applyNumberFormat="1" applyFont="1" applyFill="1" applyBorder="1" applyAlignment="1" applyProtection="1">
      <alignment horizontal="left" vertical="top"/>
      <protection hidden="1"/>
    </xf>
    <xf numFmtId="0" fontId="65" fillId="0" borderId="0" xfId="0" applyFont="1" applyFill="1" applyAlignment="1" applyProtection="1">
      <alignment horizontal="right" vertical="top"/>
      <protection hidden="1"/>
    </xf>
    <xf numFmtId="176" fontId="60" fillId="0" borderId="0" xfId="0" applyNumberFormat="1" applyFont="1" applyFill="1" applyAlignment="1" applyProtection="1">
      <alignment horizontal="center" vertical="top"/>
      <protection hidden="1"/>
    </xf>
    <xf numFmtId="176" fontId="65" fillId="0" borderId="0" xfId="0" applyNumberFormat="1" applyFont="1" applyFill="1" applyAlignment="1" applyProtection="1">
      <alignment horizontal="left" vertical="top"/>
      <protection hidden="1"/>
    </xf>
    <xf numFmtId="179" fontId="62" fillId="0" borderId="0" xfId="0" applyNumberFormat="1" applyFont="1" applyFill="1" applyAlignment="1" applyProtection="1">
      <alignment vertical="center"/>
      <protection hidden="1"/>
    </xf>
    <xf numFmtId="0" fontId="69" fillId="7" borderId="0" xfId="0" applyFont="1" applyFill="1" applyAlignment="1" applyProtection="1">
      <alignment vertical="center"/>
      <protection hidden="1"/>
    </xf>
    <xf numFmtId="0" fontId="60" fillId="7" borderId="0" xfId="0" applyFont="1" applyFill="1" applyAlignment="1" applyProtection="1">
      <alignment vertical="center"/>
      <protection hidden="1"/>
    </xf>
    <xf numFmtId="177" fontId="60" fillId="0" borderId="0" xfId="0" applyNumberFormat="1" applyFont="1" applyFill="1" applyAlignment="1" applyProtection="1">
      <alignment horizontal="right" vertical="center"/>
      <protection hidden="1"/>
    </xf>
    <xf numFmtId="179" fontId="60" fillId="0" borderId="0" xfId="0" applyNumberFormat="1" applyFont="1" applyFill="1" applyAlignment="1" applyProtection="1">
      <alignment horizontal="right" vertical="center"/>
      <protection hidden="1"/>
    </xf>
    <xf numFmtId="180" fontId="62" fillId="0" borderId="0" xfId="0" applyNumberFormat="1" applyFont="1" applyFill="1" applyAlignment="1" applyProtection="1">
      <alignment horizontal="right" vertical="center"/>
      <protection hidden="1"/>
    </xf>
    <xf numFmtId="176" fontId="4" fillId="33" borderId="24" xfId="0" applyNumberFormat="1" applyFont="1" applyFill="1" applyBorder="1" applyAlignment="1" applyProtection="1">
      <alignment horizontal="center" vertical="center"/>
      <protection hidden="1" locked="0"/>
    </xf>
    <xf numFmtId="177" fontId="62" fillId="0" borderId="0" xfId="0" applyNumberFormat="1" applyFont="1" applyFill="1" applyAlignment="1" applyProtection="1">
      <alignment horizontal="right" vertical="center"/>
      <protection hidden="1"/>
    </xf>
    <xf numFmtId="178" fontId="60" fillId="0" borderId="0" xfId="0" applyNumberFormat="1" applyFont="1" applyFill="1" applyAlignment="1" applyProtection="1">
      <alignment vertical="center"/>
      <protection hidden="1"/>
    </xf>
    <xf numFmtId="180" fontId="60" fillId="0" borderId="0" xfId="0" applyNumberFormat="1" applyFont="1" applyFill="1" applyAlignment="1" applyProtection="1">
      <alignment vertical="center"/>
      <protection hidden="1"/>
    </xf>
    <xf numFmtId="176" fontId="70" fillId="0" borderId="0" xfId="0" applyNumberFormat="1" applyFont="1" applyFill="1" applyAlignment="1" applyProtection="1">
      <alignment horizontal="center" vertical="center"/>
      <protection hidden="1"/>
    </xf>
    <xf numFmtId="180" fontId="70" fillId="33" borderId="24" xfId="0" applyNumberFormat="1" applyFont="1" applyFill="1" applyBorder="1" applyAlignment="1" applyProtection="1">
      <alignment vertical="center"/>
      <protection hidden="1" locked="0"/>
    </xf>
    <xf numFmtId="0" fontId="73" fillId="0" borderId="0" xfId="0" applyFont="1" applyFill="1" applyAlignment="1" applyProtection="1">
      <alignment horizontal="right" vertical="center"/>
      <protection hidden="1"/>
    </xf>
    <xf numFmtId="0" fontId="68" fillId="0" borderId="14" xfId="0" applyFont="1" applyFill="1" applyBorder="1" applyAlignment="1" applyProtection="1">
      <alignment horizontal="center" vertical="center"/>
      <protection hidden="1"/>
    </xf>
    <xf numFmtId="0" fontId="68" fillId="0" borderId="0" xfId="0" applyNumberFormat="1" applyFont="1" applyFill="1" applyAlignment="1" applyProtection="1">
      <alignment horizontal="left" vertical="center"/>
      <protection hidden="1"/>
    </xf>
    <xf numFmtId="0" fontId="68" fillId="0" borderId="52" xfId="0" applyFont="1" applyFill="1" applyBorder="1" applyAlignment="1" applyProtection="1">
      <alignment horizontal="center" vertical="center"/>
      <protection hidden="1"/>
    </xf>
    <xf numFmtId="0" fontId="68" fillId="0" borderId="0" xfId="0" applyFont="1" applyFill="1" applyAlignment="1" applyProtection="1">
      <alignment horizontal="right" vertical="center"/>
      <protection hidden="1"/>
    </xf>
    <xf numFmtId="0" fontId="68" fillId="0" borderId="0" xfId="0" applyFont="1" applyFill="1" applyAlignment="1" applyProtection="1">
      <alignment horizontal="center" vertical="center"/>
      <protection hidden="1"/>
    </xf>
    <xf numFmtId="0" fontId="68" fillId="0" borderId="0" xfId="0" applyFont="1" applyFill="1" applyAlignment="1" applyProtection="1">
      <alignment horizontal="left" vertical="center"/>
      <protection hidden="1"/>
    </xf>
    <xf numFmtId="179" fontId="60" fillId="0" borderId="0" xfId="0" applyNumberFormat="1" applyFont="1" applyFill="1" applyAlignment="1" applyProtection="1">
      <alignment vertical="center"/>
      <protection hidden="1"/>
    </xf>
    <xf numFmtId="180" fontId="60" fillId="0" borderId="0" xfId="0" applyNumberFormat="1" applyFont="1" applyFill="1" applyAlignment="1" applyProtection="1">
      <alignment horizontal="right" vertical="center"/>
      <protection hidden="1"/>
    </xf>
    <xf numFmtId="180" fontId="60" fillId="0" borderId="0" xfId="0" applyNumberFormat="1" applyFont="1" applyFill="1" applyAlignment="1" applyProtection="1">
      <alignment horizontal="center" vertical="center"/>
      <protection hidden="1"/>
    </xf>
    <xf numFmtId="178" fontId="62" fillId="0" borderId="0" xfId="0" applyNumberFormat="1" applyFont="1" applyFill="1" applyAlignment="1" applyProtection="1">
      <alignment horizontal="right" vertical="center"/>
      <protection hidden="1"/>
    </xf>
    <xf numFmtId="178" fontId="60" fillId="0" borderId="0" xfId="0" applyNumberFormat="1" applyFont="1" applyFill="1" applyAlignment="1" applyProtection="1">
      <alignment horizontal="right" vertical="center"/>
      <protection hidden="1"/>
    </xf>
    <xf numFmtId="176" fontId="62" fillId="33" borderId="24" xfId="0" applyNumberFormat="1" applyFont="1" applyFill="1" applyBorder="1" applyAlignment="1" applyProtection="1">
      <alignment horizontal="center" vertical="center"/>
      <protection hidden="1" locked="0"/>
    </xf>
    <xf numFmtId="0" fontId="73" fillId="0" borderId="0" xfId="0" applyFont="1" applyFill="1" applyAlignment="1" applyProtection="1">
      <alignment horizontal="center" vertical="center"/>
      <protection hidden="1"/>
    </xf>
    <xf numFmtId="0" fontId="68" fillId="0" borderId="0" xfId="0" applyNumberFormat="1" applyFont="1" applyFill="1" applyAlignment="1" applyProtection="1">
      <alignment horizontal="left" vertical="center"/>
      <protection hidden="1"/>
    </xf>
    <xf numFmtId="0" fontId="60" fillId="0" borderId="0" xfId="0" applyFont="1" applyFill="1" applyAlignment="1" applyProtection="1">
      <alignment horizontal="right" vertical="top"/>
      <protection hidden="1"/>
    </xf>
    <xf numFmtId="176" fontId="62" fillId="0" borderId="0" xfId="0" applyNumberFormat="1" applyFont="1" applyFill="1" applyAlignment="1" applyProtection="1">
      <alignment horizontal="right" vertical="top"/>
      <protection hidden="1"/>
    </xf>
    <xf numFmtId="176" fontId="60" fillId="0" borderId="0" xfId="0" applyNumberFormat="1" applyFont="1" applyFill="1" applyAlignment="1" applyProtection="1">
      <alignment vertical="top"/>
      <protection hidden="1"/>
    </xf>
    <xf numFmtId="0" fontId="69" fillId="0" borderId="0" xfId="0" applyFont="1" applyFill="1" applyAlignment="1" applyProtection="1">
      <alignment horizontal="right" vertical="center"/>
      <protection hidden="1"/>
    </xf>
    <xf numFmtId="0" fontId="55" fillId="0" borderId="0" xfId="0" applyFont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21</xdr:row>
      <xdr:rowOff>0</xdr:rowOff>
    </xdr:from>
    <xdr:to>
      <xdr:col>11</xdr:col>
      <xdr:colOff>533400</xdr:colOff>
      <xdr:row>21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124700" y="3324225"/>
          <a:ext cx="333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12</xdr:row>
      <xdr:rowOff>9525</xdr:rowOff>
    </xdr:from>
    <xdr:to>
      <xdr:col>11</xdr:col>
      <xdr:colOff>523875</xdr:colOff>
      <xdr:row>12</xdr:row>
      <xdr:rowOff>9525</xdr:rowOff>
    </xdr:to>
    <xdr:sp>
      <xdr:nvSpPr>
        <xdr:cNvPr id="2" name="直線コネクタ 8"/>
        <xdr:cNvSpPr>
          <a:spLocks/>
        </xdr:cNvSpPr>
      </xdr:nvSpPr>
      <xdr:spPr>
        <a:xfrm>
          <a:off x="6905625" y="1800225"/>
          <a:ext cx="542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238125</xdr:colOff>
      <xdr:row>22</xdr:row>
      <xdr:rowOff>0</xdr:rowOff>
    </xdr:from>
    <xdr:to>
      <xdr:col>11</xdr:col>
      <xdr:colOff>523875</xdr:colOff>
      <xdr:row>22</xdr:row>
      <xdr:rowOff>0</xdr:rowOff>
    </xdr:to>
    <xdr:sp>
      <xdr:nvSpPr>
        <xdr:cNvPr id="3" name="直線コネクタ 9"/>
        <xdr:cNvSpPr>
          <a:spLocks/>
        </xdr:cNvSpPr>
      </xdr:nvSpPr>
      <xdr:spPr>
        <a:xfrm>
          <a:off x="6905625" y="3514725"/>
          <a:ext cx="542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19050</xdr:rowOff>
    </xdr:from>
    <xdr:to>
      <xdr:col>12</xdr:col>
      <xdr:colOff>0</xdr:colOff>
      <xdr:row>25</xdr:row>
      <xdr:rowOff>66675</xdr:rowOff>
    </xdr:to>
    <xdr:sp>
      <xdr:nvSpPr>
        <xdr:cNvPr id="4" name="直線コネクタ 11"/>
        <xdr:cNvSpPr>
          <a:spLocks/>
        </xdr:cNvSpPr>
      </xdr:nvSpPr>
      <xdr:spPr>
        <a:xfrm>
          <a:off x="7543800" y="3533775"/>
          <a:ext cx="0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28575</xdr:rowOff>
    </xdr:from>
    <xdr:to>
      <xdr:col>13</xdr:col>
      <xdr:colOff>0</xdr:colOff>
      <xdr:row>24</xdr:row>
      <xdr:rowOff>28575</xdr:rowOff>
    </xdr:to>
    <xdr:sp>
      <xdr:nvSpPr>
        <xdr:cNvPr id="5" name="直線コネクタ 12"/>
        <xdr:cNvSpPr>
          <a:spLocks/>
        </xdr:cNvSpPr>
      </xdr:nvSpPr>
      <xdr:spPr>
        <a:xfrm>
          <a:off x="7734300" y="3543300"/>
          <a:ext cx="0" cy="352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21</xdr:row>
      <xdr:rowOff>180975</xdr:rowOff>
    </xdr:from>
    <xdr:to>
      <xdr:col>15</xdr:col>
      <xdr:colOff>0</xdr:colOff>
      <xdr:row>25</xdr:row>
      <xdr:rowOff>38100</xdr:rowOff>
    </xdr:to>
    <xdr:sp>
      <xdr:nvSpPr>
        <xdr:cNvPr id="6" name="直線コネクタ 13"/>
        <xdr:cNvSpPr>
          <a:spLocks/>
        </xdr:cNvSpPr>
      </xdr:nvSpPr>
      <xdr:spPr>
        <a:xfrm>
          <a:off x="8572500" y="3505200"/>
          <a:ext cx="0" cy="590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11</xdr:row>
      <xdr:rowOff>190500</xdr:rowOff>
    </xdr:from>
    <xdr:to>
      <xdr:col>11</xdr:col>
      <xdr:colOff>66675</xdr:colOff>
      <xdr:row>22</xdr:row>
      <xdr:rowOff>9525</xdr:rowOff>
    </xdr:to>
    <xdr:sp>
      <xdr:nvSpPr>
        <xdr:cNvPr id="7" name="直線矢印コネクタ 23"/>
        <xdr:cNvSpPr>
          <a:spLocks/>
        </xdr:cNvSpPr>
      </xdr:nvSpPr>
      <xdr:spPr>
        <a:xfrm>
          <a:off x="6981825" y="1781175"/>
          <a:ext cx="9525" cy="17430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381000</xdr:colOff>
      <xdr:row>21</xdr:row>
      <xdr:rowOff>0</xdr:rowOff>
    </xdr:from>
    <xdr:to>
      <xdr:col>11</xdr:col>
      <xdr:colOff>390525</xdr:colOff>
      <xdr:row>22</xdr:row>
      <xdr:rowOff>9525</xdr:rowOff>
    </xdr:to>
    <xdr:sp>
      <xdr:nvSpPr>
        <xdr:cNvPr id="8" name="直線矢印コネクタ 28"/>
        <xdr:cNvSpPr>
          <a:spLocks/>
        </xdr:cNvSpPr>
      </xdr:nvSpPr>
      <xdr:spPr>
        <a:xfrm>
          <a:off x="7305675" y="3324225"/>
          <a:ext cx="952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123825</xdr:rowOff>
    </xdr:from>
    <xdr:to>
      <xdr:col>13</xdr:col>
      <xdr:colOff>0</xdr:colOff>
      <xdr:row>23</xdr:row>
      <xdr:rowOff>123825</xdr:rowOff>
    </xdr:to>
    <xdr:sp>
      <xdr:nvSpPr>
        <xdr:cNvPr id="9" name="直線矢印コネクタ 30"/>
        <xdr:cNvSpPr>
          <a:spLocks/>
        </xdr:cNvSpPr>
      </xdr:nvSpPr>
      <xdr:spPr>
        <a:xfrm>
          <a:off x="7543800" y="3800475"/>
          <a:ext cx="190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504825</xdr:colOff>
      <xdr:row>24</xdr:row>
      <xdr:rowOff>114300</xdr:rowOff>
    </xdr:from>
    <xdr:to>
      <xdr:col>14</xdr:col>
      <xdr:colOff>209550</xdr:colOff>
      <xdr:row>24</xdr:row>
      <xdr:rowOff>114300</xdr:rowOff>
    </xdr:to>
    <xdr:sp>
      <xdr:nvSpPr>
        <xdr:cNvPr id="10" name="直線矢印コネクタ 32"/>
        <xdr:cNvSpPr>
          <a:spLocks/>
        </xdr:cNvSpPr>
      </xdr:nvSpPr>
      <xdr:spPr>
        <a:xfrm>
          <a:off x="7429500" y="3981450"/>
          <a:ext cx="11239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10</xdr:col>
      <xdr:colOff>161925</xdr:colOff>
      <xdr:row>16</xdr:row>
      <xdr:rowOff>28575</xdr:rowOff>
    </xdr:from>
    <xdr:ext cx="161925" cy="295275"/>
    <xdr:sp fLocksText="0">
      <xdr:nvSpPr>
        <xdr:cNvPr id="11" name="テキスト ボックス 33"/>
        <xdr:cNvSpPr txBox="1">
          <a:spLocks noChangeArrowheads="1"/>
        </xdr:cNvSpPr>
      </xdr:nvSpPr>
      <xdr:spPr>
        <a:xfrm>
          <a:off x="6829425" y="25146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200025</xdr:colOff>
      <xdr:row>17</xdr:row>
      <xdr:rowOff>66675</xdr:rowOff>
    </xdr:from>
    <xdr:ext cx="161925" cy="295275"/>
    <xdr:sp fLocksText="0">
      <xdr:nvSpPr>
        <xdr:cNvPr id="12" name="テキスト ボックス 34"/>
        <xdr:cNvSpPr txBox="1">
          <a:spLocks noChangeArrowheads="1"/>
        </xdr:cNvSpPr>
      </xdr:nvSpPr>
      <xdr:spPr>
        <a:xfrm flipH="1">
          <a:off x="6867525" y="274320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9525</xdr:colOff>
      <xdr:row>15</xdr:row>
      <xdr:rowOff>19050</xdr:rowOff>
    </xdr:from>
    <xdr:ext cx="133350" cy="228600"/>
    <xdr:sp>
      <xdr:nvSpPr>
        <xdr:cNvPr id="13" name="テキスト ボックス 35"/>
        <xdr:cNvSpPr txBox="1">
          <a:spLocks noChangeArrowheads="1"/>
        </xdr:cNvSpPr>
      </xdr:nvSpPr>
      <xdr:spPr>
        <a:xfrm>
          <a:off x="6934200" y="24193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</a:t>
          </a:r>
        </a:p>
      </xdr:txBody>
    </xdr:sp>
    <xdr:clientData/>
  </xdr:oneCellAnchor>
  <xdr:oneCellAnchor>
    <xdr:from>
      <xdr:col>11</xdr:col>
      <xdr:colOff>28575</xdr:colOff>
      <xdr:row>20</xdr:row>
      <xdr:rowOff>161925</xdr:rowOff>
    </xdr:from>
    <xdr:ext cx="371475" cy="276225"/>
    <xdr:sp>
      <xdr:nvSpPr>
        <xdr:cNvPr id="14" name="テキスト ボックス 36"/>
        <xdr:cNvSpPr txBox="1">
          <a:spLocks noChangeArrowheads="1"/>
        </xdr:cNvSpPr>
      </xdr:nvSpPr>
      <xdr:spPr>
        <a:xfrm>
          <a:off x="6953250" y="328612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</a:p>
      </xdr:txBody>
    </xdr:sp>
    <xdr:clientData/>
  </xdr:oneCellAnchor>
  <xdr:oneCellAnchor>
    <xdr:from>
      <xdr:col>11</xdr:col>
      <xdr:colOff>523875</xdr:colOff>
      <xdr:row>22</xdr:row>
      <xdr:rowOff>38100</xdr:rowOff>
    </xdr:from>
    <xdr:ext cx="247650" cy="200025"/>
    <xdr:sp>
      <xdr:nvSpPr>
        <xdr:cNvPr id="15" name="テキスト ボックス 37"/>
        <xdr:cNvSpPr txBox="1">
          <a:spLocks noChangeArrowheads="1"/>
        </xdr:cNvSpPr>
      </xdr:nvSpPr>
      <xdr:spPr>
        <a:xfrm>
          <a:off x="7448550" y="35528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</a:p>
      </xdr:txBody>
    </xdr:sp>
    <xdr:clientData/>
  </xdr:oneCellAnchor>
  <xdr:oneCellAnchor>
    <xdr:from>
      <xdr:col>13</xdr:col>
      <xdr:colOff>200025</xdr:colOff>
      <xdr:row>23</xdr:row>
      <xdr:rowOff>76200</xdr:rowOff>
    </xdr:from>
    <xdr:ext cx="200025" cy="285750"/>
    <xdr:sp>
      <xdr:nvSpPr>
        <xdr:cNvPr id="16" name="テキスト ボックス 38"/>
        <xdr:cNvSpPr txBox="1">
          <a:spLocks noChangeArrowheads="1"/>
        </xdr:cNvSpPr>
      </xdr:nvSpPr>
      <xdr:spPr>
        <a:xfrm>
          <a:off x="7934325" y="3752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twoCellAnchor>
    <xdr:from>
      <xdr:col>13</xdr:col>
      <xdr:colOff>19050</xdr:colOff>
      <xdr:row>12</xdr:row>
      <xdr:rowOff>0</xdr:rowOff>
    </xdr:from>
    <xdr:to>
      <xdr:col>15</xdr:col>
      <xdr:colOff>0</xdr:colOff>
      <xdr:row>12</xdr:row>
      <xdr:rowOff>0</xdr:rowOff>
    </xdr:to>
    <xdr:sp>
      <xdr:nvSpPr>
        <xdr:cNvPr id="17" name="直線コネクタ 2"/>
        <xdr:cNvSpPr>
          <a:spLocks/>
        </xdr:cNvSpPr>
      </xdr:nvSpPr>
      <xdr:spPr>
        <a:xfrm>
          <a:off x="7753350" y="1790700"/>
          <a:ext cx="819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12</xdr:row>
      <xdr:rowOff>190500</xdr:rowOff>
    </xdr:from>
    <xdr:to>
      <xdr:col>13</xdr:col>
      <xdr:colOff>180975</xdr:colOff>
      <xdr:row>21</xdr:row>
      <xdr:rowOff>9525</xdr:rowOff>
    </xdr:to>
    <xdr:sp>
      <xdr:nvSpPr>
        <xdr:cNvPr id="18" name="直線コネクタ 6"/>
        <xdr:cNvSpPr>
          <a:spLocks/>
        </xdr:cNvSpPr>
      </xdr:nvSpPr>
      <xdr:spPr>
        <a:xfrm flipV="1">
          <a:off x="7753350" y="1981200"/>
          <a:ext cx="171450" cy="1352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13</xdr:col>
      <xdr:colOff>514350</xdr:colOff>
      <xdr:row>11</xdr:row>
      <xdr:rowOff>171450</xdr:rowOff>
    </xdr:from>
    <xdr:ext cx="161925" cy="285750"/>
    <xdr:sp fLocksText="0">
      <xdr:nvSpPr>
        <xdr:cNvPr id="19" name="テキスト ボックス 7"/>
        <xdr:cNvSpPr txBox="1">
          <a:spLocks noChangeArrowheads="1"/>
        </xdr:cNvSpPr>
      </xdr:nvSpPr>
      <xdr:spPr>
        <a:xfrm>
          <a:off x="8248650" y="1762125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142875</xdr:colOff>
      <xdr:row>13</xdr:row>
      <xdr:rowOff>0</xdr:rowOff>
    </xdr:from>
    <xdr:ext cx="180975" cy="209550"/>
    <xdr:sp>
      <xdr:nvSpPr>
        <xdr:cNvPr id="20" name="テキスト ボックス 10"/>
        <xdr:cNvSpPr txBox="1">
          <a:spLocks noChangeArrowheads="1"/>
        </xdr:cNvSpPr>
      </xdr:nvSpPr>
      <xdr:spPr>
        <a:xfrm>
          <a:off x="7686675" y="20002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θ</a:t>
          </a:r>
        </a:p>
      </xdr:txBody>
    </xdr:sp>
    <xdr:clientData/>
  </xdr:oneCellAnchor>
  <xdr:twoCellAnchor>
    <xdr:from>
      <xdr:col>13</xdr:col>
      <xdr:colOff>9525</xdr:colOff>
      <xdr:row>10</xdr:row>
      <xdr:rowOff>180975</xdr:rowOff>
    </xdr:from>
    <xdr:to>
      <xdr:col>14</xdr:col>
      <xdr:colOff>180975</xdr:colOff>
      <xdr:row>11</xdr:row>
      <xdr:rowOff>190500</xdr:rowOff>
    </xdr:to>
    <xdr:sp>
      <xdr:nvSpPr>
        <xdr:cNvPr id="21" name="直線コネクタ 19"/>
        <xdr:cNvSpPr>
          <a:spLocks/>
        </xdr:cNvSpPr>
      </xdr:nvSpPr>
      <xdr:spPr>
        <a:xfrm flipV="1">
          <a:off x="7743825" y="1571625"/>
          <a:ext cx="781050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14</xdr:col>
      <xdr:colOff>28575</xdr:colOff>
      <xdr:row>10</xdr:row>
      <xdr:rowOff>152400</xdr:rowOff>
    </xdr:from>
    <xdr:ext cx="180975" cy="209550"/>
    <xdr:sp>
      <xdr:nvSpPr>
        <xdr:cNvPr id="22" name="テキスト ボックス 24"/>
        <xdr:cNvSpPr txBox="1">
          <a:spLocks noChangeArrowheads="1"/>
        </xdr:cNvSpPr>
      </xdr:nvSpPr>
      <xdr:spPr>
        <a:xfrm>
          <a:off x="8372475" y="15430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7"/>
  <sheetViews>
    <sheetView tabSelected="1" zoomScalePageLayoutView="0" workbookViewId="0" topLeftCell="A1">
      <selection activeCell="S346" sqref="S346"/>
    </sheetView>
  </sheetViews>
  <sheetFormatPr defaultColWidth="9.140625" defaultRowHeight="15"/>
  <cols>
    <col min="1" max="1" width="3.57421875" style="7" customWidth="1"/>
    <col min="2" max="2" width="8.7109375" style="7" customWidth="1"/>
    <col min="3" max="3" width="12.00390625" style="1" customWidth="1"/>
    <col min="4" max="4" width="13.28125" style="1" customWidth="1"/>
    <col min="5" max="5" width="17.421875" style="6" customWidth="1"/>
    <col min="6" max="6" width="10.28125" style="2" customWidth="1"/>
    <col min="7" max="7" width="4.57421875" style="2" customWidth="1"/>
    <col min="8" max="8" width="11.7109375" style="2" customWidth="1"/>
    <col min="9" max="9" width="9.8515625" style="2" customWidth="1"/>
    <col min="10" max="10" width="8.57421875" style="3" customWidth="1"/>
    <col min="11" max="11" width="3.8515625" style="2" customWidth="1"/>
    <col min="12" max="12" width="9.28125" style="2" customWidth="1"/>
    <col min="13" max="13" width="2.8515625" style="2" customWidth="1"/>
    <col min="14" max="14" width="9.140625" style="2" customWidth="1"/>
    <col min="15" max="15" width="3.421875" style="2" customWidth="1"/>
    <col min="16" max="16" width="8.8515625" style="3" customWidth="1"/>
    <col min="17" max="17" width="7.140625" style="4" customWidth="1"/>
  </cols>
  <sheetData>
    <row r="1" spans="1:18" ht="9" customHeight="1">
      <c r="A1" s="12"/>
      <c r="B1" s="12"/>
      <c r="C1" s="13"/>
      <c r="D1" s="13"/>
      <c r="E1" s="14"/>
      <c r="F1" s="15"/>
      <c r="G1" s="15"/>
      <c r="H1" s="15"/>
      <c r="I1" s="15"/>
      <c r="J1" s="16"/>
      <c r="K1" s="15"/>
      <c r="L1" s="15"/>
      <c r="M1" s="15"/>
      <c r="N1" s="15"/>
      <c r="O1" s="15"/>
      <c r="P1" s="16"/>
      <c r="Q1" s="13"/>
      <c r="R1" s="9"/>
    </row>
    <row r="2" spans="1:18" ht="6.75" customHeight="1" thickBot="1">
      <c r="A2" s="17" t="s">
        <v>389</v>
      </c>
      <c r="B2" s="17"/>
      <c r="C2" s="17"/>
      <c r="D2" s="17"/>
      <c r="E2" s="14"/>
      <c r="F2" s="15"/>
      <c r="G2" s="15"/>
      <c r="H2" s="15"/>
      <c r="I2" s="15"/>
      <c r="J2" s="16"/>
      <c r="K2" s="15"/>
      <c r="L2" s="15"/>
      <c r="M2" s="15"/>
      <c r="N2" s="15"/>
      <c r="O2" s="15"/>
      <c r="P2" s="16"/>
      <c r="Q2" s="13"/>
      <c r="R2" s="9"/>
    </row>
    <row r="3" spans="1:18" ht="13.5">
      <c r="A3" s="17"/>
      <c r="B3" s="17"/>
      <c r="C3" s="17"/>
      <c r="D3" s="17"/>
      <c r="E3" s="18"/>
      <c r="F3" s="15"/>
      <c r="G3" s="15"/>
      <c r="H3" s="15"/>
      <c r="I3" s="19" t="s">
        <v>331</v>
      </c>
      <c r="J3" s="20"/>
      <c r="K3" s="20"/>
      <c r="L3" s="20"/>
      <c r="M3" s="20"/>
      <c r="N3" s="21"/>
      <c r="O3" s="15"/>
      <c r="P3" s="16"/>
      <c r="Q3" s="13"/>
      <c r="R3" s="9"/>
    </row>
    <row r="4" spans="1:18" ht="4.5" customHeight="1">
      <c r="A4" s="12"/>
      <c r="B4" s="12"/>
      <c r="C4" s="13"/>
      <c r="D4" s="13"/>
      <c r="E4" s="14"/>
      <c r="F4" s="15"/>
      <c r="G4" s="15"/>
      <c r="H4" s="15"/>
      <c r="I4" s="22"/>
      <c r="J4" s="23"/>
      <c r="K4" s="23"/>
      <c r="L4" s="23"/>
      <c r="M4" s="23"/>
      <c r="N4" s="24"/>
      <c r="O4" s="15"/>
      <c r="P4" s="16"/>
      <c r="Q4" s="13"/>
      <c r="R4" s="9"/>
    </row>
    <row r="5" spans="1:18" ht="13.5">
      <c r="A5" s="25" t="s">
        <v>24</v>
      </c>
      <c r="B5" s="12"/>
      <c r="C5" s="13"/>
      <c r="D5" s="26" t="s">
        <v>391</v>
      </c>
      <c r="E5" s="14"/>
      <c r="F5" s="15"/>
      <c r="G5" s="15"/>
      <c r="H5" s="15"/>
      <c r="I5" s="27" t="s">
        <v>332</v>
      </c>
      <c r="J5" s="28" t="s">
        <v>348</v>
      </c>
      <c r="K5" s="28"/>
      <c r="L5" s="29" t="s">
        <v>339</v>
      </c>
      <c r="M5" s="30" t="s">
        <v>334</v>
      </c>
      <c r="N5" s="31"/>
      <c r="O5" s="15"/>
      <c r="P5" s="16"/>
      <c r="Q5" s="13"/>
      <c r="R5" s="9"/>
    </row>
    <row r="6" spans="1:18" ht="12" customHeight="1" thickBot="1">
      <c r="A6" s="12"/>
      <c r="B6" s="25" t="s">
        <v>16</v>
      </c>
      <c r="C6" s="32"/>
      <c r="D6" s="13"/>
      <c r="E6" s="14"/>
      <c r="F6" s="15"/>
      <c r="G6" s="15"/>
      <c r="H6" s="15"/>
      <c r="I6" s="33"/>
      <c r="J6" s="34" t="s">
        <v>347</v>
      </c>
      <c r="K6" s="35"/>
      <c r="L6" s="36" t="s">
        <v>339</v>
      </c>
      <c r="M6" s="37" t="s">
        <v>334</v>
      </c>
      <c r="N6" s="38"/>
      <c r="O6" s="15"/>
      <c r="P6" s="16"/>
      <c r="Q6" s="13"/>
      <c r="R6" s="9"/>
    </row>
    <row r="7" spans="1:18" ht="12.75" customHeight="1" thickBot="1">
      <c r="A7" s="12"/>
      <c r="B7" s="39"/>
      <c r="C7" s="40" t="s">
        <v>17</v>
      </c>
      <c r="D7" s="13"/>
      <c r="E7" s="41" t="s">
        <v>377</v>
      </c>
      <c r="F7" s="42">
        <v>18</v>
      </c>
      <c r="G7" s="15"/>
      <c r="H7" s="15" t="s">
        <v>19</v>
      </c>
      <c r="I7" s="33"/>
      <c r="J7" s="43" t="s">
        <v>336</v>
      </c>
      <c r="K7" s="44"/>
      <c r="L7" s="36" t="s">
        <v>337</v>
      </c>
      <c r="M7" s="37" t="s">
        <v>335</v>
      </c>
      <c r="N7" s="38"/>
      <c r="O7" s="15"/>
      <c r="P7" s="16"/>
      <c r="Q7" s="13"/>
      <c r="R7" s="9"/>
    </row>
    <row r="8" spans="1:18" ht="11.25" customHeight="1" thickBot="1">
      <c r="A8" s="12"/>
      <c r="B8" s="39"/>
      <c r="C8" s="40" t="s">
        <v>18</v>
      </c>
      <c r="D8" s="13"/>
      <c r="E8" s="45" t="s">
        <v>378</v>
      </c>
      <c r="F8" s="42">
        <v>24.5</v>
      </c>
      <c r="G8" s="15"/>
      <c r="H8" s="15" t="s">
        <v>20</v>
      </c>
      <c r="I8" s="33"/>
      <c r="J8" s="34" t="s">
        <v>338</v>
      </c>
      <c r="K8" s="35"/>
      <c r="L8" s="46" t="s">
        <v>349</v>
      </c>
      <c r="M8" s="37" t="s">
        <v>334</v>
      </c>
      <c r="N8" s="38"/>
      <c r="O8" s="15"/>
      <c r="P8" s="16"/>
      <c r="Q8" s="13"/>
      <c r="R8" s="9"/>
    </row>
    <row r="9" spans="1:18" ht="12" customHeight="1">
      <c r="A9" s="12"/>
      <c r="B9" s="12"/>
      <c r="C9" s="13"/>
      <c r="D9" s="13"/>
      <c r="E9" s="14"/>
      <c r="F9" s="15"/>
      <c r="G9" s="15"/>
      <c r="H9" s="15"/>
      <c r="I9" s="47"/>
      <c r="J9" s="34" t="s">
        <v>350</v>
      </c>
      <c r="K9" s="35"/>
      <c r="L9" s="36" t="s">
        <v>351</v>
      </c>
      <c r="M9" s="43"/>
      <c r="N9" s="48"/>
      <c r="O9" s="15"/>
      <c r="P9" s="16"/>
      <c r="Q9" s="13"/>
      <c r="R9" s="9"/>
    </row>
    <row r="10" spans="1:18" ht="14.25" thickBot="1">
      <c r="A10" s="49" t="s">
        <v>0</v>
      </c>
      <c r="B10" s="12"/>
      <c r="C10" s="13"/>
      <c r="D10" s="13"/>
      <c r="E10" s="14"/>
      <c r="F10" s="15"/>
      <c r="G10" s="15"/>
      <c r="H10" s="15"/>
      <c r="I10" s="50" t="s">
        <v>333</v>
      </c>
      <c r="J10" s="51"/>
      <c r="K10" s="52"/>
      <c r="L10" s="53">
        <v>24.5</v>
      </c>
      <c r="M10" s="54" t="s">
        <v>334</v>
      </c>
      <c r="N10" s="55"/>
      <c r="O10" s="15"/>
      <c r="P10" s="16"/>
      <c r="Q10" s="13"/>
      <c r="R10" s="9"/>
    </row>
    <row r="11" spans="1:18" ht="15.75" thickBot="1">
      <c r="A11" s="12"/>
      <c r="B11" s="12"/>
      <c r="C11" s="13" t="s">
        <v>1</v>
      </c>
      <c r="D11" s="13" t="s">
        <v>14</v>
      </c>
      <c r="E11" s="14"/>
      <c r="F11" s="15"/>
      <c r="G11" s="15"/>
      <c r="H11" s="15"/>
      <c r="I11" s="15"/>
      <c r="J11" s="16"/>
      <c r="K11" s="15"/>
      <c r="L11" s="15"/>
      <c r="M11" s="15"/>
      <c r="N11" s="15"/>
      <c r="O11" s="15"/>
      <c r="P11" s="16"/>
      <c r="Q11" s="13"/>
      <c r="R11" s="9"/>
    </row>
    <row r="12" spans="1:18" ht="15.75" thickBot="1">
      <c r="A12" s="12"/>
      <c r="B12" s="12"/>
      <c r="C12" s="13"/>
      <c r="D12" s="13" t="s">
        <v>2</v>
      </c>
      <c r="E12" s="56" t="s">
        <v>7</v>
      </c>
      <c r="F12" s="57">
        <v>2.8</v>
      </c>
      <c r="G12" s="15"/>
      <c r="H12" s="15"/>
      <c r="I12" s="15"/>
      <c r="J12" s="16"/>
      <c r="K12" s="15"/>
      <c r="L12" s="15"/>
      <c r="M12" s="15"/>
      <c r="N12" s="15"/>
      <c r="O12" s="15"/>
      <c r="P12" s="16"/>
      <c r="Q12" s="13"/>
      <c r="R12" s="9"/>
    </row>
    <row r="13" spans="1:18" ht="16.5" thickBot="1" thickTop="1">
      <c r="A13" s="12"/>
      <c r="B13" s="12"/>
      <c r="C13" s="13"/>
      <c r="D13" s="13" t="s">
        <v>3</v>
      </c>
      <c r="E13" s="56" t="s">
        <v>8</v>
      </c>
      <c r="F13" s="57">
        <v>3</v>
      </c>
      <c r="G13" s="15"/>
      <c r="H13" s="15"/>
      <c r="I13" s="15"/>
      <c r="J13" s="16"/>
      <c r="K13" s="15"/>
      <c r="L13" s="15"/>
      <c r="M13" s="58"/>
      <c r="N13" s="15"/>
      <c r="O13" s="15"/>
      <c r="P13" s="16"/>
      <c r="Q13" s="13"/>
      <c r="R13" s="9"/>
    </row>
    <row r="14" spans="1:18" ht="15.75" thickBot="1">
      <c r="A14" s="12"/>
      <c r="B14" s="12"/>
      <c r="C14" s="13"/>
      <c r="D14" s="13" t="s">
        <v>4</v>
      </c>
      <c r="E14" s="56" t="s">
        <v>9</v>
      </c>
      <c r="F14" s="57">
        <v>0.3</v>
      </c>
      <c r="G14" s="15"/>
      <c r="H14" s="15"/>
      <c r="I14" s="15"/>
      <c r="J14" s="16"/>
      <c r="K14" s="15"/>
      <c r="L14" s="15"/>
      <c r="M14" s="59"/>
      <c r="N14" s="15"/>
      <c r="O14" s="15"/>
      <c r="P14" s="16"/>
      <c r="Q14" s="13"/>
      <c r="R14" s="9"/>
    </row>
    <row r="15" spans="1:18" ht="15.75" thickBot="1">
      <c r="A15" s="12"/>
      <c r="B15" s="12"/>
      <c r="C15" s="13"/>
      <c r="D15" s="13" t="s">
        <v>5</v>
      </c>
      <c r="E15" s="56" t="s">
        <v>10</v>
      </c>
      <c r="F15" s="57">
        <v>0.3</v>
      </c>
      <c r="G15" s="15"/>
      <c r="H15" s="15"/>
      <c r="I15" s="15"/>
      <c r="J15" s="16"/>
      <c r="K15" s="15"/>
      <c r="L15" s="15"/>
      <c r="M15" s="59"/>
      <c r="N15" s="15"/>
      <c r="O15" s="15"/>
      <c r="P15" s="16"/>
      <c r="Q15" s="13"/>
      <c r="R15" s="9"/>
    </row>
    <row r="16" spans="1:18" ht="6.75" customHeight="1">
      <c r="A16" s="12"/>
      <c r="B16" s="12"/>
      <c r="C16" s="13"/>
      <c r="D16" s="13"/>
      <c r="E16" s="14"/>
      <c r="F16" s="15"/>
      <c r="G16" s="15"/>
      <c r="H16" s="15"/>
      <c r="I16" s="15"/>
      <c r="J16" s="16"/>
      <c r="K16" s="15"/>
      <c r="L16" s="15"/>
      <c r="M16" s="59"/>
      <c r="N16" s="15"/>
      <c r="O16" s="15"/>
      <c r="P16" s="16"/>
      <c r="Q16" s="13"/>
      <c r="R16" s="9"/>
    </row>
    <row r="17" spans="1:18" ht="15">
      <c r="A17" s="12"/>
      <c r="B17" s="12"/>
      <c r="C17" s="13" t="s">
        <v>6</v>
      </c>
      <c r="D17" s="13" t="s">
        <v>26</v>
      </c>
      <c r="E17" s="14"/>
      <c r="F17" s="15"/>
      <c r="G17" s="60"/>
      <c r="H17" s="15"/>
      <c r="I17" s="15"/>
      <c r="J17" s="16"/>
      <c r="K17" s="15"/>
      <c r="L17" s="15"/>
      <c r="M17" s="59"/>
      <c r="N17" s="15"/>
      <c r="O17" s="15"/>
      <c r="P17" s="16"/>
      <c r="Q17" s="13"/>
      <c r="R17" s="9"/>
    </row>
    <row r="18" spans="1:18" ht="15">
      <c r="A18" s="12"/>
      <c r="B18" s="12"/>
      <c r="C18" s="13"/>
      <c r="D18" s="13" t="s">
        <v>12</v>
      </c>
      <c r="E18" s="14" t="s">
        <v>23</v>
      </c>
      <c r="F18" s="61">
        <f>$F$12</f>
        <v>2.8</v>
      </c>
      <c r="G18" s="60" t="s">
        <v>13</v>
      </c>
      <c r="H18" s="61">
        <f>$F$14</f>
        <v>0.3</v>
      </c>
      <c r="I18" s="15">
        <f>$F$18*$H$18</f>
        <v>0.84</v>
      </c>
      <c r="J18" s="16"/>
      <c r="K18" s="15"/>
      <c r="L18" s="15"/>
      <c r="M18" s="59"/>
      <c r="N18" s="15"/>
      <c r="O18" s="15"/>
      <c r="P18" s="16"/>
      <c r="Q18" s="13"/>
      <c r="R18" s="9"/>
    </row>
    <row r="19" spans="1:18" ht="15">
      <c r="A19" s="12"/>
      <c r="B19" s="12"/>
      <c r="C19" s="13"/>
      <c r="D19" s="13" t="s">
        <v>11</v>
      </c>
      <c r="E19" s="14" t="s">
        <v>22</v>
      </c>
      <c r="F19" s="61">
        <f>$F$13-$F$14</f>
        <v>2.7</v>
      </c>
      <c r="G19" s="60" t="s">
        <v>13</v>
      </c>
      <c r="H19" s="61">
        <f>$F$15</f>
        <v>0.3</v>
      </c>
      <c r="I19" s="15">
        <f>$F$19*$H$19</f>
        <v>0.81</v>
      </c>
      <c r="J19" s="16"/>
      <c r="K19" s="15"/>
      <c r="L19" s="15"/>
      <c r="M19" s="59"/>
      <c r="N19" s="15"/>
      <c r="O19" s="15"/>
      <c r="P19" s="16"/>
      <c r="Q19" s="13"/>
      <c r="R19" s="9"/>
    </row>
    <row r="20" spans="1:18" ht="5.25" customHeight="1">
      <c r="A20" s="12"/>
      <c r="B20" s="12"/>
      <c r="C20" s="13"/>
      <c r="D20" s="13"/>
      <c r="E20" s="14"/>
      <c r="F20" s="15"/>
      <c r="G20" s="60"/>
      <c r="H20" s="15"/>
      <c r="I20" s="15"/>
      <c r="J20" s="16"/>
      <c r="K20" s="15"/>
      <c r="L20" s="15"/>
      <c r="M20" s="59"/>
      <c r="N20" s="15"/>
      <c r="O20" s="15"/>
      <c r="P20" s="16"/>
      <c r="Q20" s="13"/>
      <c r="R20" s="9"/>
    </row>
    <row r="21" spans="1:18" ht="15.75" thickBot="1">
      <c r="A21" s="12"/>
      <c r="B21" s="12"/>
      <c r="C21" s="13" t="s">
        <v>15</v>
      </c>
      <c r="D21" s="13" t="s">
        <v>26</v>
      </c>
      <c r="E21" s="14"/>
      <c r="F21" s="15"/>
      <c r="G21" s="60"/>
      <c r="H21" s="15"/>
      <c r="I21" s="15"/>
      <c r="J21" s="16"/>
      <c r="K21" s="15"/>
      <c r="L21" s="15"/>
      <c r="M21" s="59"/>
      <c r="N21" s="15"/>
      <c r="O21" s="15"/>
      <c r="P21" s="16"/>
      <c r="Q21" s="13"/>
      <c r="R21" s="9"/>
    </row>
    <row r="22" spans="1:18" ht="15" customHeight="1" thickBot="1" thickTop="1">
      <c r="A22" s="12"/>
      <c r="B22" s="12"/>
      <c r="C22" s="13"/>
      <c r="D22" s="13"/>
      <c r="E22" s="14" t="s">
        <v>25</v>
      </c>
      <c r="F22" s="61">
        <f>$F$13-$F$14</f>
        <v>2.7</v>
      </c>
      <c r="G22" s="62" t="s">
        <v>13</v>
      </c>
      <c r="H22" s="61">
        <f>$F$12-$F$15</f>
        <v>2.5</v>
      </c>
      <c r="I22" s="15">
        <f>$F$22*$H$22</f>
        <v>6.75</v>
      </c>
      <c r="J22" s="16"/>
      <c r="K22" s="15"/>
      <c r="L22" s="15"/>
      <c r="M22" s="63"/>
      <c r="N22" s="64"/>
      <c r="O22" s="65"/>
      <c r="P22" s="16"/>
      <c r="Q22" s="13"/>
      <c r="R22" s="9"/>
    </row>
    <row r="23" spans="1:18" ht="12.75" customHeight="1" thickTop="1">
      <c r="A23" s="12"/>
      <c r="B23" s="12"/>
      <c r="C23" s="13"/>
      <c r="D23" s="13"/>
      <c r="E23" s="14"/>
      <c r="F23" s="15"/>
      <c r="G23" s="60"/>
      <c r="H23" s="15"/>
      <c r="I23" s="15"/>
      <c r="J23" s="16"/>
      <c r="K23" s="15"/>
      <c r="L23" s="15"/>
      <c r="M23" s="15"/>
      <c r="N23" s="15"/>
      <c r="O23" s="15"/>
      <c r="P23" s="16"/>
      <c r="Q23" s="13"/>
      <c r="R23" s="9"/>
    </row>
    <row r="24" spans="1:18" ht="15">
      <c r="A24" s="12"/>
      <c r="B24" s="49" t="s">
        <v>105</v>
      </c>
      <c r="C24" s="13"/>
      <c r="D24" s="13" t="s">
        <v>27</v>
      </c>
      <c r="E24" s="14"/>
      <c r="F24" s="15"/>
      <c r="G24" s="60"/>
      <c r="H24" s="15"/>
      <c r="I24" s="15"/>
      <c r="J24" s="16"/>
      <c r="K24" s="15"/>
      <c r="L24" s="15"/>
      <c r="M24" s="15"/>
      <c r="N24" s="15"/>
      <c r="O24" s="15"/>
      <c r="P24" s="16"/>
      <c r="Q24" s="13"/>
      <c r="R24" s="9"/>
    </row>
    <row r="25" spans="1:18" ht="15">
      <c r="A25" s="12"/>
      <c r="B25" s="12"/>
      <c r="C25" s="13"/>
      <c r="D25" s="13" t="s">
        <v>12</v>
      </c>
      <c r="E25" s="14" t="s">
        <v>379</v>
      </c>
      <c r="F25" s="15">
        <f>$I$18</f>
        <v>0.84</v>
      </c>
      <c r="G25" s="60" t="s">
        <v>13</v>
      </c>
      <c r="H25" s="66">
        <f>$F$8</f>
        <v>24.5</v>
      </c>
      <c r="I25" s="15">
        <f>$F$25*$H$25</f>
        <v>20.58</v>
      </c>
      <c r="J25" s="16"/>
      <c r="K25" s="15"/>
      <c r="L25" s="15"/>
      <c r="M25" s="15"/>
      <c r="N25" s="15"/>
      <c r="O25" s="15"/>
      <c r="P25" s="16"/>
      <c r="Q25" s="13"/>
      <c r="R25" s="9"/>
    </row>
    <row r="26" spans="1:18" ht="13.5">
      <c r="A26" s="12"/>
      <c r="B26" s="12"/>
      <c r="C26" s="13"/>
      <c r="D26" s="13" t="s">
        <v>11</v>
      </c>
      <c r="E26" s="14" t="s">
        <v>380</v>
      </c>
      <c r="F26" s="15">
        <f>$I$19</f>
        <v>0.81</v>
      </c>
      <c r="G26" s="60" t="s">
        <v>13</v>
      </c>
      <c r="H26" s="66">
        <f>$F$8</f>
        <v>24.5</v>
      </c>
      <c r="I26" s="15">
        <f>$F$26*$H$26</f>
        <v>19.845000000000002</v>
      </c>
      <c r="J26" s="16"/>
      <c r="K26" s="15"/>
      <c r="L26" s="15"/>
      <c r="M26" s="15"/>
      <c r="N26" s="15"/>
      <c r="O26" s="15"/>
      <c r="P26" s="16"/>
      <c r="Q26" s="13"/>
      <c r="R26" s="9"/>
    </row>
    <row r="27" spans="1:18" ht="13.5">
      <c r="A27" s="12"/>
      <c r="B27" s="12"/>
      <c r="C27" s="13"/>
      <c r="D27" s="13" t="s">
        <v>21</v>
      </c>
      <c r="E27" s="14" t="s">
        <v>381</v>
      </c>
      <c r="F27" s="15">
        <f>$I$22</f>
        <v>6.75</v>
      </c>
      <c r="G27" s="60" t="s">
        <v>13</v>
      </c>
      <c r="H27" s="66">
        <f>$F$7</f>
        <v>18</v>
      </c>
      <c r="I27" s="15">
        <f>$F$27*$H$27</f>
        <v>121.5</v>
      </c>
      <c r="J27" s="16"/>
      <c r="K27" s="15"/>
      <c r="L27" s="15"/>
      <c r="M27" s="15"/>
      <c r="N27" s="15"/>
      <c r="O27" s="15"/>
      <c r="P27" s="16"/>
      <c r="Q27" s="13"/>
      <c r="R27" s="9"/>
    </row>
    <row r="28" spans="1:18" ht="13.5">
      <c r="A28" s="12"/>
      <c r="B28" s="12"/>
      <c r="C28" s="56" t="s">
        <v>28</v>
      </c>
      <c r="D28" s="26" t="s">
        <v>29</v>
      </c>
      <c r="E28" s="56" t="s">
        <v>37</v>
      </c>
      <c r="F28" s="15"/>
      <c r="G28" s="60"/>
      <c r="H28" s="15"/>
      <c r="I28" s="67">
        <f>$I$25+$I$26+$I$27</f>
        <v>161.925</v>
      </c>
      <c r="J28" s="16"/>
      <c r="K28" s="15"/>
      <c r="L28" s="15"/>
      <c r="M28" s="15"/>
      <c r="N28" s="15"/>
      <c r="O28" s="15"/>
      <c r="P28" s="16"/>
      <c r="Q28" s="13"/>
      <c r="R28" s="9"/>
    </row>
    <row r="29" spans="1:18" ht="6" customHeight="1">
      <c r="A29" s="12"/>
      <c r="B29" s="12"/>
      <c r="C29" s="13"/>
      <c r="D29" s="13"/>
      <c r="E29" s="14"/>
      <c r="F29" s="15"/>
      <c r="G29" s="60"/>
      <c r="H29" s="15"/>
      <c r="I29" s="15"/>
      <c r="J29" s="16"/>
      <c r="K29" s="15"/>
      <c r="L29" s="15"/>
      <c r="M29" s="15"/>
      <c r="N29" s="15"/>
      <c r="O29" s="15"/>
      <c r="P29" s="16"/>
      <c r="Q29" s="13"/>
      <c r="R29" s="9"/>
    </row>
    <row r="30" spans="1:18" ht="13.5">
      <c r="A30" s="12"/>
      <c r="B30" s="12"/>
      <c r="C30" s="13" t="s">
        <v>39</v>
      </c>
      <c r="D30" s="13"/>
      <c r="E30" s="14"/>
      <c r="F30" s="15"/>
      <c r="G30" s="60"/>
      <c r="H30" s="15"/>
      <c r="I30" s="15"/>
      <c r="J30" s="16"/>
      <c r="K30" s="15"/>
      <c r="L30" s="15"/>
      <c r="M30" s="15"/>
      <c r="N30" s="15"/>
      <c r="O30" s="15"/>
      <c r="P30" s="16"/>
      <c r="Q30" s="13"/>
      <c r="R30" s="9"/>
    </row>
    <row r="31" spans="1:18" ht="13.5">
      <c r="A31" s="12"/>
      <c r="B31" s="12"/>
      <c r="C31" s="13"/>
      <c r="D31" s="13" t="s">
        <v>30</v>
      </c>
      <c r="E31" s="14"/>
      <c r="F31" s="15"/>
      <c r="G31" s="60"/>
      <c r="H31" s="15"/>
      <c r="I31" s="15"/>
      <c r="J31" s="16"/>
      <c r="K31" s="15"/>
      <c r="L31" s="15"/>
      <c r="M31" s="15"/>
      <c r="N31" s="15"/>
      <c r="O31" s="15"/>
      <c r="P31" s="16"/>
      <c r="Q31" s="13"/>
      <c r="R31" s="9"/>
    </row>
    <row r="32" spans="1:18" ht="13.5">
      <c r="A32" s="12"/>
      <c r="B32" s="12"/>
      <c r="C32" s="13"/>
      <c r="D32" s="13" t="s">
        <v>12</v>
      </c>
      <c r="E32" s="14" t="s">
        <v>32</v>
      </c>
      <c r="F32" s="61">
        <f>$F$14</f>
        <v>0.3</v>
      </c>
      <c r="G32" s="60" t="s">
        <v>13</v>
      </c>
      <c r="H32" s="68">
        <v>0.5</v>
      </c>
      <c r="I32" s="15">
        <f>$F$32*$H$32</f>
        <v>0.15</v>
      </c>
      <c r="J32" s="16"/>
      <c r="K32" s="15"/>
      <c r="L32" s="15"/>
      <c r="M32" s="15"/>
      <c r="N32" s="15"/>
      <c r="O32" s="15"/>
      <c r="P32" s="16"/>
      <c r="Q32" s="13"/>
      <c r="R32" s="9"/>
    </row>
    <row r="33" spans="1:18" ht="13.5">
      <c r="A33" s="12"/>
      <c r="B33" s="12"/>
      <c r="C33" s="13"/>
      <c r="D33" s="13" t="s">
        <v>11</v>
      </c>
      <c r="E33" s="14" t="s">
        <v>33</v>
      </c>
      <c r="F33" s="61">
        <f>$F$14</f>
        <v>0.3</v>
      </c>
      <c r="G33" s="60" t="s">
        <v>31</v>
      </c>
      <c r="H33" s="69">
        <f>0.5*($F$13-$F$14)</f>
        <v>1.35</v>
      </c>
      <c r="I33" s="15">
        <f>$F$33+$H$33</f>
        <v>1.6500000000000001</v>
      </c>
      <c r="J33" s="16"/>
      <c r="K33" s="15"/>
      <c r="L33" s="15"/>
      <c r="M33" s="15"/>
      <c r="N33" s="15"/>
      <c r="O33" s="15"/>
      <c r="P33" s="16"/>
      <c r="Q33" s="13"/>
      <c r="R33" s="9"/>
    </row>
    <row r="34" spans="1:18" ht="13.5">
      <c r="A34" s="12"/>
      <c r="B34" s="12"/>
      <c r="C34" s="13"/>
      <c r="D34" s="13" t="s">
        <v>21</v>
      </c>
      <c r="E34" s="14" t="s">
        <v>34</v>
      </c>
      <c r="F34" s="61">
        <f>$F$14</f>
        <v>0.3</v>
      </c>
      <c r="G34" s="60" t="s">
        <v>31</v>
      </c>
      <c r="H34" s="69">
        <f>0.5*($F$13-$F$14)</f>
        <v>1.35</v>
      </c>
      <c r="I34" s="15">
        <f>$F$34+$H$34</f>
        <v>1.6500000000000001</v>
      </c>
      <c r="J34" s="16"/>
      <c r="K34" s="15"/>
      <c r="L34" s="15"/>
      <c r="M34" s="15"/>
      <c r="N34" s="15"/>
      <c r="O34" s="15"/>
      <c r="P34" s="16"/>
      <c r="Q34" s="13"/>
      <c r="R34" s="9"/>
    </row>
    <row r="35" spans="1:18" ht="13.5">
      <c r="A35" s="12"/>
      <c r="B35" s="12"/>
      <c r="C35" s="13"/>
      <c r="D35" s="13"/>
      <c r="E35" s="14"/>
      <c r="F35" s="15"/>
      <c r="G35" s="60"/>
      <c r="H35" s="15"/>
      <c r="I35" s="15"/>
      <c r="J35" s="16"/>
      <c r="K35" s="15"/>
      <c r="L35" s="15"/>
      <c r="M35" s="15"/>
      <c r="N35" s="15"/>
      <c r="O35" s="15"/>
      <c r="P35" s="16"/>
      <c r="Q35" s="13"/>
      <c r="R35" s="9"/>
    </row>
    <row r="36" spans="1:18" ht="13.5">
      <c r="A36" s="12"/>
      <c r="B36" s="12"/>
      <c r="C36" s="13" t="s">
        <v>40</v>
      </c>
      <c r="D36" s="13"/>
      <c r="E36" s="14"/>
      <c r="F36" s="15"/>
      <c r="G36" s="60"/>
      <c r="H36" s="15"/>
      <c r="I36" s="15"/>
      <c r="J36" s="16"/>
      <c r="K36" s="15"/>
      <c r="L36" s="15"/>
      <c r="M36" s="15"/>
      <c r="N36" s="15"/>
      <c r="O36" s="15"/>
      <c r="P36" s="16"/>
      <c r="Q36" s="13"/>
      <c r="R36" s="9"/>
    </row>
    <row r="37" spans="1:18" ht="13.5">
      <c r="A37" s="12"/>
      <c r="B37" s="12"/>
      <c r="C37" s="13"/>
      <c r="D37" s="13" t="s">
        <v>35</v>
      </c>
      <c r="E37" s="14"/>
      <c r="F37" s="15"/>
      <c r="G37" s="60"/>
      <c r="H37" s="15"/>
      <c r="I37" s="15"/>
      <c r="J37" s="16"/>
      <c r="K37" s="15"/>
      <c r="L37" s="15"/>
      <c r="M37" s="15"/>
      <c r="N37" s="15"/>
      <c r="O37" s="15"/>
      <c r="P37" s="16"/>
      <c r="Q37" s="13"/>
      <c r="R37" s="9"/>
    </row>
    <row r="38" spans="1:18" ht="13.5">
      <c r="A38" s="12"/>
      <c r="B38" s="12"/>
      <c r="C38" s="13"/>
      <c r="D38" s="13" t="s">
        <v>12</v>
      </c>
      <c r="E38" s="14" t="s">
        <v>382</v>
      </c>
      <c r="F38" s="69">
        <f>$I$32</f>
        <v>0.15</v>
      </c>
      <c r="G38" s="60" t="s">
        <v>13</v>
      </c>
      <c r="H38" s="15">
        <f>$I$25</f>
        <v>20.58</v>
      </c>
      <c r="I38" s="15">
        <f>$F$38*$H$38</f>
        <v>3.0869999999999997</v>
      </c>
      <c r="J38" s="16"/>
      <c r="K38" s="15"/>
      <c r="L38" s="15"/>
      <c r="M38" s="15"/>
      <c r="N38" s="15"/>
      <c r="O38" s="15"/>
      <c r="P38" s="16"/>
      <c r="Q38" s="13"/>
      <c r="R38" s="9"/>
    </row>
    <row r="39" spans="1:18" ht="13.5">
      <c r="A39" s="12"/>
      <c r="B39" s="12"/>
      <c r="C39" s="13"/>
      <c r="D39" s="13" t="s">
        <v>11</v>
      </c>
      <c r="E39" s="14" t="s">
        <v>383</v>
      </c>
      <c r="F39" s="69">
        <f>$I$33</f>
        <v>1.6500000000000001</v>
      </c>
      <c r="G39" s="60" t="s">
        <v>13</v>
      </c>
      <c r="H39" s="15">
        <f>$I$26</f>
        <v>19.845000000000002</v>
      </c>
      <c r="I39" s="15">
        <f>$F$39*$H$39</f>
        <v>32.74425000000001</v>
      </c>
      <c r="J39" s="16"/>
      <c r="K39" s="15"/>
      <c r="L39" s="15"/>
      <c r="M39" s="15"/>
      <c r="N39" s="15"/>
      <c r="O39" s="15"/>
      <c r="P39" s="16"/>
      <c r="Q39" s="13"/>
      <c r="R39" s="9"/>
    </row>
    <row r="40" spans="1:18" ht="13.5">
      <c r="A40" s="12"/>
      <c r="B40" s="12"/>
      <c r="C40" s="13"/>
      <c r="D40" s="13" t="s">
        <v>21</v>
      </c>
      <c r="E40" s="14" t="s">
        <v>384</v>
      </c>
      <c r="F40" s="69">
        <f>$I$34</f>
        <v>1.6500000000000001</v>
      </c>
      <c r="G40" s="60" t="s">
        <v>13</v>
      </c>
      <c r="H40" s="15">
        <f>$I$27</f>
        <v>121.5</v>
      </c>
      <c r="I40" s="15">
        <f>$F$40*$H$40</f>
        <v>200.47500000000002</v>
      </c>
      <c r="J40" s="16"/>
      <c r="K40" s="15"/>
      <c r="L40" s="15"/>
      <c r="M40" s="15"/>
      <c r="N40" s="15"/>
      <c r="O40" s="15"/>
      <c r="P40" s="16"/>
      <c r="Q40" s="13"/>
      <c r="R40" s="9"/>
    </row>
    <row r="41" spans="1:18" ht="13.5">
      <c r="A41" s="12"/>
      <c r="B41" s="12"/>
      <c r="C41" s="56" t="s">
        <v>36</v>
      </c>
      <c r="D41" s="26" t="s">
        <v>41</v>
      </c>
      <c r="E41" s="56" t="s">
        <v>38</v>
      </c>
      <c r="F41" s="67"/>
      <c r="G41" s="70"/>
      <c r="H41" s="67"/>
      <c r="I41" s="67">
        <f>$I$38+$I$39+$I$40</f>
        <v>236.30625000000003</v>
      </c>
      <c r="J41" s="16"/>
      <c r="K41" s="15"/>
      <c r="L41" s="15"/>
      <c r="M41" s="15"/>
      <c r="N41" s="15"/>
      <c r="O41" s="15"/>
      <c r="P41" s="16"/>
      <c r="Q41" s="13"/>
      <c r="R41" s="9"/>
    </row>
    <row r="42" spans="1:18" ht="5.25" customHeight="1">
      <c r="A42" s="12"/>
      <c r="B42" s="12"/>
      <c r="C42" s="13"/>
      <c r="D42" s="13"/>
      <c r="E42" s="14"/>
      <c r="F42" s="15"/>
      <c r="G42" s="60"/>
      <c r="H42" s="15"/>
      <c r="I42" s="15"/>
      <c r="J42" s="16"/>
      <c r="K42" s="15"/>
      <c r="L42" s="15"/>
      <c r="M42" s="15"/>
      <c r="N42" s="15"/>
      <c r="O42" s="15"/>
      <c r="P42" s="16"/>
      <c r="Q42" s="13"/>
      <c r="R42" s="9"/>
    </row>
    <row r="43" spans="1:18" ht="3.75" customHeight="1">
      <c r="A43" s="12"/>
      <c r="B43" s="12"/>
      <c r="C43" s="13"/>
      <c r="D43" s="13"/>
      <c r="E43" s="14"/>
      <c r="F43" s="15"/>
      <c r="G43" s="60"/>
      <c r="H43" s="15"/>
      <c r="I43" s="15"/>
      <c r="J43" s="16"/>
      <c r="K43" s="15"/>
      <c r="L43" s="15"/>
      <c r="M43" s="15"/>
      <c r="N43" s="15"/>
      <c r="O43" s="15"/>
      <c r="P43" s="16"/>
      <c r="Q43" s="13"/>
      <c r="R43" s="9"/>
    </row>
    <row r="44" spans="1:18" ht="13.5">
      <c r="A44" s="12"/>
      <c r="B44" s="49" t="s">
        <v>106</v>
      </c>
      <c r="C44" s="13"/>
      <c r="D44" s="13"/>
      <c r="E44" s="71" t="s">
        <v>42</v>
      </c>
      <c r="F44" s="15">
        <f>$I$41</f>
        <v>236.30625000000003</v>
      </c>
      <c r="G44" s="60" t="s">
        <v>43</v>
      </c>
      <c r="H44" s="15">
        <f>$I$28</f>
        <v>161.925</v>
      </c>
      <c r="I44" s="67">
        <f>$F$44/$H$44</f>
        <v>1.4593561834182494</v>
      </c>
      <c r="J44" s="13" t="s">
        <v>340</v>
      </c>
      <c r="K44" s="15"/>
      <c r="L44" s="15"/>
      <c r="M44" s="15"/>
      <c r="N44" s="15"/>
      <c r="O44" s="15"/>
      <c r="P44" s="16"/>
      <c r="Q44" s="13"/>
      <c r="R44" s="9"/>
    </row>
    <row r="45" spans="1:18" ht="7.5" customHeight="1">
      <c r="A45" s="12"/>
      <c r="B45" s="12"/>
      <c r="C45" s="13"/>
      <c r="D45" s="13"/>
      <c r="E45" s="14"/>
      <c r="F45" s="15"/>
      <c r="G45" s="60"/>
      <c r="H45" s="15"/>
      <c r="I45" s="15"/>
      <c r="J45" s="16"/>
      <c r="K45" s="15"/>
      <c r="L45" s="15"/>
      <c r="M45" s="15"/>
      <c r="N45" s="15"/>
      <c r="O45" s="15"/>
      <c r="P45" s="16"/>
      <c r="Q45" s="13"/>
      <c r="R45" s="9"/>
    </row>
    <row r="46" spans="1:18" ht="13.5">
      <c r="A46" s="25" t="s">
        <v>44</v>
      </c>
      <c r="B46" s="39"/>
      <c r="C46" s="32"/>
      <c r="D46" s="13"/>
      <c r="E46" s="14"/>
      <c r="F46" s="15"/>
      <c r="G46" s="60"/>
      <c r="H46" s="15"/>
      <c r="I46" s="15"/>
      <c r="J46" s="16"/>
      <c r="K46" s="15"/>
      <c r="L46" s="15"/>
      <c r="M46" s="15"/>
      <c r="N46" s="15"/>
      <c r="O46" s="15"/>
      <c r="P46" s="16"/>
      <c r="Q46" s="13"/>
      <c r="R46" s="9"/>
    </row>
    <row r="47" spans="1:18" ht="14.25" thickBot="1">
      <c r="A47" s="39"/>
      <c r="B47" s="25" t="s">
        <v>45</v>
      </c>
      <c r="C47" s="32"/>
      <c r="D47" s="13"/>
      <c r="E47" s="14"/>
      <c r="F47" s="15"/>
      <c r="G47" s="60"/>
      <c r="H47" s="15"/>
      <c r="I47" s="15"/>
      <c r="J47" s="16"/>
      <c r="K47" s="15"/>
      <c r="L47" s="15"/>
      <c r="M47" s="15"/>
      <c r="N47" s="15"/>
      <c r="O47" s="15"/>
      <c r="P47" s="16"/>
      <c r="Q47" s="13"/>
      <c r="R47" s="9"/>
    </row>
    <row r="48" spans="1:18" ht="14.25" thickBot="1">
      <c r="A48" s="39"/>
      <c r="B48" s="39"/>
      <c r="C48" s="32"/>
      <c r="D48" s="13"/>
      <c r="E48" s="14" t="s">
        <v>91</v>
      </c>
      <c r="F48" s="42">
        <v>9.8</v>
      </c>
      <c r="G48" s="60"/>
      <c r="H48" s="15" t="s">
        <v>47</v>
      </c>
      <c r="I48" s="15"/>
      <c r="J48" s="16"/>
      <c r="K48" s="15"/>
      <c r="L48" s="15"/>
      <c r="M48" s="15"/>
      <c r="N48" s="15"/>
      <c r="O48" s="15"/>
      <c r="P48" s="16"/>
      <c r="Q48" s="13"/>
      <c r="R48" s="9"/>
    </row>
    <row r="49" spans="1:18" ht="13.5">
      <c r="A49" s="12"/>
      <c r="B49" s="49" t="s">
        <v>342</v>
      </c>
      <c r="C49" s="26"/>
      <c r="D49" s="13"/>
      <c r="E49" s="71" t="s">
        <v>122</v>
      </c>
      <c r="F49" s="66">
        <f>$F$48</f>
        <v>9.8</v>
      </c>
      <c r="G49" s="60" t="s">
        <v>13</v>
      </c>
      <c r="H49" s="15">
        <f>$F$13-$F$14</f>
        <v>2.7</v>
      </c>
      <c r="I49" s="67">
        <f>$F$49*$H$49</f>
        <v>26.460000000000004</v>
      </c>
      <c r="J49" s="16"/>
      <c r="K49" s="15"/>
      <c r="L49" s="15"/>
      <c r="M49" s="15"/>
      <c r="N49" s="15"/>
      <c r="O49" s="15"/>
      <c r="P49" s="16"/>
      <c r="Q49" s="13"/>
      <c r="R49" s="9"/>
    </row>
    <row r="50" spans="1:18" ht="6.75" customHeight="1">
      <c r="A50" s="12"/>
      <c r="B50" s="12"/>
      <c r="C50" s="13"/>
      <c r="D50" s="13"/>
      <c r="E50" s="14"/>
      <c r="F50" s="15"/>
      <c r="G50" s="60"/>
      <c r="H50" s="15"/>
      <c r="I50" s="15"/>
      <c r="J50" s="16"/>
      <c r="K50" s="15"/>
      <c r="L50" s="15"/>
      <c r="M50" s="15"/>
      <c r="N50" s="15"/>
      <c r="O50" s="15"/>
      <c r="P50" s="16"/>
      <c r="Q50" s="13"/>
      <c r="R50" s="9"/>
    </row>
    <row r="51" spans="1:18" ht="14.25" thickBot="1">
      <c r="A51" s="25" t="s">
        <v>48</v>
      </c>
      <c r="B51" s="39"/>
      <c r="C51" s="32"/>
      <c r="D51" s="32"/>
      <c r="E51" s="14"/>
      <c r="F51" s="15"/>
      <c r="G51" s="60"/>
      <c r="H51" s="15"/>
      <c r="I51" s="15"/>
      <c r="J51" s="16"/>
      <c r="K51" s="15"/>
      <c r="L51" s="15"/>
      <c r="M51" s="15"/>
      <c r="N51" s="15"/>
      <c r="O51" s="15"/>
      <c r="P51" s="16"/>
      <c r="Q51" s="13"/>
      <c r="R51" s="9"/>
    </row>
    <row r="52" spans="1:18" ht="14.25" thickBot="1">
      <c r="A52" s="39"/>
      <c r="B52" s="25" t="s">
        <v>49</v>
      </c>
      <c r="C52" s="32"/>
      <c r="D52" s="32"/>
      <c r="E52" s="14"/>
      <c r="F52" s="15"/>
      <c r="G52" s="60"/>
      <c r="H52" s="15"/>
      <c r="I52" s="72"/>
      <c r="J52" s="73" t="s">
        <v>363</v>
      </c>
      <c r="K52" s="74"/>
      <c r="L52" s="74"/>
      <c r="M52" s="74"/>
      <c r="N52" s="74"/>
      <c r="O52" s="75"/>
      <c r="P52" s="16"/>
      <c r="Q52" s="13"/>
      <c r="R52" s="9"/>
    </row>
    <row r="53" spans="1:18" ht="14.25" thickBot="1">
      <c r="A53" s="39"/>
      <c r="B53" s="39"/>
      <c r="C53" s="40" t="s">
        <v>50</v>
      </c>
      <c r="D53" s="76" t="s">
        <v>51</v>
      </c>
      <c r="E53" s="14"/>
      <c r="F53" s="15"/>
      <c r="G53" s="15"/>
      <c r="H53" s="15"/>
      <c r="I53" s="72"/>
      <c r="J53" s="77" t="s">
        <v>346</v>
      </c>
      <c r="K53" s="78"/>
      <c r="L53" s="78" t="s">
        <v>343</v>
      </c>
      <c r="M53" s="78"/>
      <c r="N53" s="78" t="s">
        <v>344</v>
      </c>
      <c r="O53" s="79"/>
      <c r="P53" s="16"/>
      <c r="Q53" s="13"/>
      <c r="R53" s="9"/>
    </row>
    <row r="54" spans="1:18" ht="14.25" thickBot="1">
      <c r="A54" s="39"/>
      <c r="B54" s="39"/>
      <c r="C54" s="40" t="s">
        <v>52</v>
      </c>
      <c r="D54" s="32"/>
      <c r="E54" s="56" t="s">
        <v>53</v>
      </c>
      <c r="F54" s="42">
        <v>20</v>
      </c>
      <c r="G54" s="15"/>
      <c r="H54" s="15" t="s">
        <v>54</v>
      </c>
      <c r="I54" s="80"/>
      <c r="J54" s="81" t="s">
        <v>352</v>
      </c>
      <c r="K54" s="82"/>
      <c r="L54" s="82" t="s">
        <v>356</v>
      </c>
      <c r="M54" s="82"/>
      <c r="N54" s="82" t="s">
        <v>355</v>
      </c>
      <c r="O54" s="83"/>
      <c r="P54" s="16"/>
      <c r="Q54" s="13"/>
      <c r="R54" s="9"/>
    </row>
    <row r="55" spans="1:18" ht="14.25" thickBot="1">
      <c r="A55" s="39"/>
      <c r="B55" s="39"/>
      <c r="C55" s="40" t="s">
        <v>388</v>
      </c>
      <c r="D55" s="32"/>
      <c r="E55" s="56" t="s">
        <v>56</v>
      </c>
      <c r="F55" s="42">
        <v>0</v>
      </c>
      <c r="G55" s="15"/>
      <c r="H55" s="15" t="s">
        <v>46</v>
      </c>
      <c r="I55" s="80"/>
      <c r="J55" s="84" t="s">
        <v>345</v>
      </c>
      <c r="K55" s="85"/>
      <c r="L55" s="85" t="s">
        <v>357</v>
      </c>
      <c r="M55" s="85"/>
      <c r="N55" s="85" t="s">
        <v>358</v>
      </c>
      <c r="O55" s="86"/>
      <c r="P55" s="16"/>
      <c r="Q55" s="13"/>
      <c r="R55" s="9"/>
    </row>
    <row r="56" spans="1:18" ht="14.25" thickBot="1">
      <c r="A56" s="39"/>
      <c r="B56" s="25" t="s">
        <v>68</v>
      </c>
      <c r="C56" s="40"/>
      <c r="D56" s="32"/>
      <c r="E56" s="56" t="s">
        <v>67</v>
      </c>
      <c r="F56" s="42">
        <v>0</v>
      </c>
      <c r="G56" s="15"/>
      <c r="H56" s="15" t="s">
        <v>54</v>
      </c>
      <c r="I56" s="80"/>
      <c r="J56" s="84" t="s">
        <v>353</v>
      </c>
      <c r="K56" s="85"/>
      <c r="L56" s="85" t="s">
        <v>359</v>
      </c>
      <c r="M56" s="85"/>
      <c r="N56" s="87">
        <v>0</v>
      </c>
      <c r="O56" s="88"/>
      <c r="P56" s="16"/>
      <c r="Q56" s="13"/>
      <c r="R56" s="9"/>
    </row>
    <row r="57" spans="1:18" ht="14.25" thickBot="1">
      <c r="A57" s="39"/>
      <c r="B57" s="25" t="s">
        <v>69</v>
      </c>
      <c r="C57" s="40"/>
      <c r="D57" s="32"/>
      <c r="E57" s="56" t="s">
        <v>70</v>
      </c>
      <c r="F57" s="42">
        <v>0</v>
      </c>
      <c r="G57" s="15"/>
      <c r="H57" s="15" t="s">
        <v>54</v>
      </c>
      <c r="I57" s="80"/>
      <c r="J57" s="84" t="s">
        <v>354</v>
      </c>
      <c r="K57" s="85"/>
      <c r="L57" s="85" t="s">
        <v>360</v>
      </c>
      <c r="M57" s="85"/>
      <c r="N57" s="87">
        <v>0</v>
      </c>
      <c r="O57" s="88"/>
      <c r="P57" s="16"/>
      <c r="Q57" s="13"/>
      <c r="R57" s="9"/>
    </row>
    <row r="58" spans="1:18" ht="14.25" thickBot="1">
      <c r="A58" s="39"/>
      <c r="B58" s="25" t="s">
        <v>57</v>
      </c>
      <c r="C58" s="40"/>
      <c r="D58" s="32"/>
      <c r="E58" s="56"/>
      <c r="F58" s="67"/>
      <c r="G58" s="15"/>
      <c r="H58" s="15"/>
      <c r="I58" s="80"/>
      <c r="J58" s="89" t="s">
        <v>350</v>
      </c>
      <c r="K58" s="90"/>
      <c r="L58" s="90" t="s">
        <v>361</v>
      </c>
      <c r="M58" s="90"/>
      <c r="N58" s="91">
        <v>0</v>
      </c>
      <c r="O58" s="92"/>
      <c r="P58" s="16"/>
      <c r="Q58" s="13"/>
      <c r="R58" s="9"/>
    </row>
    <row r="59" spans="1:18" ht="14.25" thickBot="1">
      <c r="A59" s="39"/>
      <c r="B59" s="39"/>
      <c r="C59" s="40" t="s">
        <v>58</v>
      </c>
      <c r="D59" s="32"/>
      <c r="E59" s="56" t="s">
        <v>59</v>
      </c>
      <c r="F59" s="42">
        <v>0</v>
      </c>
      <c r="G59" s="15"/>
      <c r="H59" s="15" t="s">
        <v>54</v>
      </c>
      <c r="I59" s="80"/>
      <c r="J59" s="93"/>
      <c r="K59" s="80"/>
      <c r="L59" s="80"/>
      <c r="M59" s="80"/>
      <c r="N59" s="80"/>
      <c r="O59" s="15"/>
      <c r="P59" s="16"/>
      <c r="Q59" s="13"/>
      <c r="R59" s="9"/>
    </row>
    <row r="60" spans="1:18" ht="13.5">
      <c r="A60" s="39"/>
      <c r="B60" s="39"/>
      <c r="C60" s="40" t="s">
        <v>60</v>
      </c>
      <c r="D60" s="32"/>
      <c r="E60" s="56" t="s">
        <v>61</v>
      </c>
      <c r="F60" s="94">
        <f>ROUNDDOWN((2/3*$F$54),1)</f>
        <v>13.3</v>
      </c>
      <c r="G60" s="15"/>
      <c r="H60" s="15" t="s">
        <v>54</v>
      </c>
      <c r="I60" s="80"/>
      <c r="J60" s="93"/>
      <c r="K60" s="80"/>
      <c r="L60" s="80"/>
      <c r="M60" s="80"/>
      <c r="N60" s="80"/>
      <c r="O60" s="15"/>
      <c r="P60" s="16"/>
      <c r="Q60" s="13"/>
      <c r="R60" s="9"/>
    </row>
    <row r="61" spans="1:18" ht="4.5" customHeight="1">
      <c r="A61" s="12"/>
      <c r="B61" s="12"/>
      <c r="C61" s="13"/>
      <c r="D61" s="13"/>
      <c r="E61" s="14"/>
      <c r="F61" s="66"/>
      <c r="G61" s="15"/>
      <c r="H61" s="15"/>
      <c r="I61" s="80"/>
      <c r="J61" s="93"/>
      <c r="K61" s="80"/>
      <c r="L61" s="80"/>
      <c r="M61" s="80"/>
      <c r="N61" s="80"/>
      <c r="O61" s="15"/>
      <c r="P61" s="16"/>
      <c r="Q61" s="13"/>
      <c r="R61" s="9"/>
    </row>
    <row r="62" spans="1:18" ht="4.5" customHeight="1" thickBot="1">
      <c r="A62" s="12"/>
      <c r="B62" s="12"/>
      <c r="C62" s="13"/>
      <c r="D62" s="13"/>
      <c r="E62" s="14"/>
      <c r="F62" s="66"/>
      <c r="G62" s="15"/>
      <c r="H62" s="15"/>
      <c r="I62" s="80"/>
      <c r="J62" s="93"/>
      <c r="K62" s="80"/>
      <c r="L62" s="80"/>
      <c r="M62" s="80"/>
      <c r="N62" s="80"/>
      <c r="O62" s="15"/>
      <c r="P62" s="16"/>
      <c r="Q62" s="13"/>
      <c r="R62" s="9"/>
    </row>
    <row r="63" spans="1:18" ht="14.25" thickBot="1">
      <c r="A63" s="12"/>
      <c r="B63" s="25" t="s">
        <v>62</v>
      </c>
      <c r="C63" s="40"/>
      <c r="D63" s="13"/>
      <c r="E63" s="14"/>
      <c r="F63" s="15"/>
      <c r="G63" s="15"/>
      <c r="H63" s="15"/>
      <c r="I63" s="95" t="s">
        <v>364</v>
      </c>
      <c r="J63" s="96"/>
      <c r="K63" s="96"/>
      <c r="L63" s="96"/>
      <c r="M63" s="96"/>
      <c r="N63" s="96"/>
      <c r="O63" s="96"/>
      <c r="P63" s="97"/>
      <c r="Q63" s="13"/>
      <c r="R63" s="9"/>
    </row>
    <row r="64" spans="1:18" ht="14.25" thickBot="1">
      <c r="A64" s="12"/>
      <c r="B64" s="25"/>
      <c r="C64" s="40" t="s">
        <v>50</v>
      </c>
      <c r="D64" s="98" t="s">
        <v>51</v>
      </c>
      <c r="E64" s="14"/>
      <c r="F64" s="15"/>
      <c r="G64" s="15"/>
      <c r="H64" s="15"/>
      <c r="I64" s="99" t="s">
        <v>362</v>
      </c>
      <c r="J64" s="100"/>
      <c r="K64" s="100"/>
      <c r="L64" s="100"/>
      <c r="M64" s="100"/>
      <c r="N64" s="100"/>
      <c r="O64" s="100"/>
      <c r="P64" s="101"/>
      <c r="Q64" s="13"/>
      <c r="R64" s="9"/>
    </row>
    <row r="65" spans="1:18" ht="14.25" thickBot="1">
      <c r="A65" s="12"/>
      <c r="B65" s="25"/>
      <c r="C65" s="40" t="s">
        <v>52</v>
      </c>
      <c r="D65" s="13"/>
      <c r="E65" s="71" t="s">
        <v>53</v>
      </c>
      <c r="F65" s="42">
        <v>20</v>
      </c>
      <c r="G65" s="15"/>
      <c r="H65" s="15" t="s">
        <v>54</v>
      </c>
      <c r="I65" s="102" t="s">
        <v>365</v>
      </c>
      <c r="J65" s="103"/>
      <c r="K65" s="103"/>
      <c r="L65" s="103"/>
      <c r="M65" s="103"/>
      <c r="N65" s="103"/>
      <c r="O65" s="103"/>
      <c r="P65" s="104"/>
      <c r="Q65" s="13"/>
      <c r="R65" s="9"/>
    </row>
    <row r="66" spans="1:18" ht="14.25" thickBot="1">
      <c r="A66" s="12"/>
      <c r="B66" s="25"/>
      <c r="C66" s="40" t="s">
        <v>55</v>
      </c>
      <c r="D66" s="13"/>
      <c r="E66" s="71" t="s">
        <v>56</v>
      </c>
      <c r="F66" s="42">
        <v>10</v>
      </c>
      <c r="G66" s="15"/>
      <c r="H66" s="15" t="s">
        <v>54</v>
      </c>
      <c r="I66" s="15"/>
      <c r="J66" s="16"/>
      <c r="K66" s="15"/>
      <c r="L66" s="15"/>
      <c r="M66" s="15"/>
      <c r="N66" s="15"/>
      <c r="O66" s="15"/>
      <c r="P66" s="16"/>
      <c r="Q66" s="13"/>
      <c r="R66" s="9"/>
    </row>
    <row r="67" spans="1:18" ht="14.25" thickBot="1">
      <c r="A67" s="12"/>
      <c r="B67" s="25"/>
      <c r="C67" s="40" t="s">
        <v>63</v>
      </c>
      <c r="D67" s="13"/>
      <c r="E67" s="71" t="s">
        <v>65</v>
      </c>
      <c r="F67" s="42">
        <v>100</v>
      </c>
      <c r="G67" s="15"/>
      <c r="H67" s="15" t="s">
        <v>80</v>
      </c>
      <c r="I67" s="15"/>
      <c r="J67" s="16"/>
      <c r="K67" s="15"/>
      <c r="L67" s="15"/>
      <c r="M67" s="15"/>
      <c r="N67" s="15"/>
      <c r="O67" s="15"/>
      <c r="P67" s="16"/>
      <c r="Q67" s="13"/>
      <c r="R67" s="9"/>
    </row>
    <row r="68" spans="1:18" ht="13.5">
      <c r="A68" s="12"/>
      <c r="B68" s="25"/>
      <c r="C68" s="40" t="s">
        <v>64</v>
      </c>
      <c r="D68" s="13"/>
      <c r="E68" s="71" t="s">
        <v>66</v>
      </c>
      <c r="F68" s="105">
        <f>ROUNDDOWN(TAN(RADIANS($F$65)),3)</f>
        <v>0.363</v>
      </c>
      <c r="G68" s="15"/>
      <c r="H68" s="15"/>
      <c r="I68" s="15"/>
      <c r="J68" s="16"/>
      <c r="K68" s="15"/>
      <c r="L68" s="15"/>
      <c r="M68" s="15"/>
      <c r="N68" s="15"/>
      <c r="O68" s="15"/>
      <c r="P68" s="16"/>
      <c r="Q68" s="13"/>
      <c r="R68" s="9"/>
    </row>
    <row r="69" spans="1:18" ht="5.25" customHeight="1">
      <c r="A69" s="12"/>
      <c r="B69" s="12"/>
      <c r="C69" s="13"/>
      <c r="D69" s="13"/>
      <c r="E69" s="14"/>
      <c r="F69" s="15"/>
      <c r="G69" s="15"/>
      <c r="H69" s="15"/>
      <c r="I69" s="15"/>
      <c r="J69" s="16"/>
      <c r="K69" s="15"/>
      <c r="L69" s="15"/>
      <c r="M69" s="15"/>
      <c r="N69" s="15"/>
      <c r="O69" s="15"/>
      <c r="P69" s="16"/>
      <c r="Q69" s="13"/>
      <c r="R69" s="9"/>
    </row>
    <row r="70" spans="1:18" ht="13.5">
      <c r="A70" s="49" t="s">
        <v>300</v>
      </c>
      <c r="B70" s="12"/>
      <c r="C70" s="13"/>
      <c r="D70" s="13"/>
      <c r="E70" s="14"/>
      <c r="F70" s="15"/>
      <c r="G70" s="15"/>
      <c r="H70" s="15"/>
      <c r="I70" s="15"/>
      <c r="J70" s="16"/>
      <c r="K70" s="15"/>
      <c r="L70" s="15"/>
      <c r="M70" s="15"/>
      <c r="N70" s="15"/>
      <c r="O70" s="15"/>
      <c r="P70" s="16"/>
      <c r="Q70" s="13"/>
      <c r="R70" s="9"/>
    </row>
    <row r="71" spans="1:18" ht="13.5">
      <c r="A71" s="12"/>
      <c r="B71" s="49" t="s">
        <v>190</v>
      </c>
      <c r="C71" s="13"/>
      <c r="D71" s="14"/>
      <c r="E71" s="56" t="s">
        <v>71</v>
      </c>
      <c r="F71" s="15"/>
      <c r="G71" s="15"/>
      <c r="H71" s="15"/>
      <c r="I71" s="15"/>
      <c r="J71" s="16"/>
      <c r="K71" s="15"/>
      <c r="L71" s="15"/>
      <c r="M71" s="15"/>
      <c r="N71" s="15"/>
      <c r="O71" s="15"/>
      <c r="P71" s="16"/>
      <c r="Q71" s="13"/>
      <c r="R71" s="9"/>
    </row>
    <row r="72" spans="1:18" ht="13.5">
      <c r="A72" s="12"/>
      <c r="B72" s="12"/>
      <c r="C72" s="106" t="s">
        <v>76</v>
      </c>
      <c r="D72" s="13"/>
      <c r="E72" s="14" t="s">
        <v>72</v>
      </c>
      <c r="F72" s="15" t="s">
        <v>75</v>
      </c>
      <c r="G72" s="60" t="s">
        <v>13</v>
      </c>
      <c r="H72" s="16" t="s">
        <v>73</v>
      </c>
      <c r="I72" s="107">
        <f>ROUNDDOWN(($F$65/2),2)</f>
        <v>10</v>
      </c>
      <c r="J72" s="60" t="s">
        <v>74</v>
      </c>
      <c r="K72" s="15"/>
      <c r="L72" s="15"/>
      <c r="M72" s="15"/>
      <c r="N72" s="15"/>
      <c r="O72" s="15"/>
      <c r="P72" s="16"/>
      <c r="Q72" s="13"/>
      <c r="R72" s="9"/>
    </row>
    <row r="73" spans="1:18" ht="13.5">
      <c r="A73" s="12"/>
      <c r="B73" s="12"/>
      <c r="C73" s="13" t="s">
        <v>77</v>
      </c>
      <c r="D73" s="13"/>
      <c r="E73" s="14" t="s">
        <v>72</v>
      </c>
      <c r="F73" s="15" t="s">
        <v>75</v>
      </c>
      <c r="G73" s="60" t="s">
        <v>13</v>
      </c>
      <c r="H73" s="61">
        <f>ROUNDDOWN((45-$F$65/2),2)</f>
        <v>35</v>
      </c>
      <c r="I73" s="15"/>
      <c r="J73" s="16"/>
      <c r="K73" s="15"/>
      <c r="L73" s="15"/>
      <c r="M73" s="15"/>
      <c r="N73" s="15"/>
      <c r="O73" s="15"/>
      <c r="P73" s="16"/>
      <c r="Q73" s="13"/>
      <c r="R73" s="9"/>
    </row>
    <row r="74" spans="1:18" ht="17.25" customHeight="1">
      <c r="A74" s="12"/>
      <c r="B74" s="12"/>
      <c r="C74" s="13"/>
      <c r="D74" s="13"/>
      <c r="E74" s="56" t="s">
        <v>72</v>
      </c>
      <c r="F74" s="108">
        <f>ROUND((TAN(RADIANS($H$73))*(TAN(RADIANS($H$73)))),3)</f>
        <v>0.49</v>
      </c>
      <c r="G74" s="15"/>
      <c r="H74" s="15"/>
      <c r="I74" s="15"/>
      <c r="J74" s="16"/>
      <c r="K74" s="15"/>
      <c r="L74" s="15"/>
      <c r="M74" s="15"/>
      <c r="N74" s="15"/>
      <c r="O74" s="15"/>
      <c r="P74" s="16"/>
      <c r="Q74" s="13"/>
      <c r="R74" s="9"/>
    </row>
    <row r="75" spans="1:18" ht="12.75" customHeight="1">
      <c r="A75" s="12"/>
      <c r="B75" s="49" t="s">
        <v>341</v>
      </c>
      <c r="C75" s="13"/>
      <c r="D75" s="13"/>
      <c r="E75" s="14"/>
      <c r="F75" s="15"/>
      <c r="G75" s="15"/>
      <c r="H75" s="15"/>
      <c r="I75" s="15"/>
      <c r="J75" s="16"/>
      <c r="K75" s="15"/>
      <c r="L75" s="15"/>
      <c r="M75" s="15"/>
      <c r="N75" s="15"/>
      <c r="O75" s="15"/>
      <c r="P75" s="16"/>
      <c r="Q75" s="13"/>
      <c r="R75" s="9"/>
    </row>
    <row r="76" spans="1:18" ht="15" customHeight="1">
      <c r="A76" s="12"/>
      <c r="B76" s="49"/>
      <c r="C76" s="109" t="s">
        <v>72</v>
      </c>
      <c r="D76" s="110" t="s">
        <v>179</v>
      </c>
      <c r="E76" s="110"/>
      <c r="F76" s="110"/>
      <c r="G76" s="110"/>
      <c r="H76" s="110"/>
      <c r="I76" s="110"/>
      <c r="J76" s="16"/>
      <c r="K76" s="15"/>
      <c r="L76" s="15"/>
      <c r="M76" s="15"/>
      <c r="N76" s="15"/>
      <c r="O76" s="15"/>
      <c r="P76" s="16"/>
      <c r="Q76" s="13"/>
      <c r="R76" s="9"/>
    </row>
    <row r="77" spans="1:18" ht="11.25" customHeight="1">
      <c r="A77" s="12"/>
      <c r="B77" s="12"/>
      <c r="C77" s="109"/>
      <c r="D77" s="111" t="s">
        <v>184</v>
      </c>
      <c r="E77" s="111"/>
      <c r="F77" s="112" t="s">
        <v>181</v>
      </c>
      <c r="G77" s="112"/>
      <c r="H77" s="112"/>
      <c r="I77" s="113" t="s">
        <v>183</v>
      </c>
      <c r="J77" s="16"/>
      <c r="K77" s="15"/>
      <c r="L77" s="15"/>
      <c r="M77" s="15"/>
      <c r="N77" s="15"/>
      <c r="O77" s="15"/>
      <c r="P77" s="16"/>
      <c r="Q77" s="13"/>
      <c r="R77" s="9"/>
    </row>
    <row r="78" spans="1:18" ht="10.5" customHeight="1">
      <c r="A78" s="12"/>
      <c r="B78" s="12"/>
      <c r="C78" s="109"/>
      <c r="D78" s="114"/>
      <c r="E78" s="114"/>
      <c r="F78" s="115" t="s">
        <v>182</v>
      </c>
      <c r="G78" s="115"/>
      <c r="H78" s="115"/>
      <c r="I78" s="113"/>
      <c r="J78" s="16"/>
      <c r="K78" s="15"/>
      <c r="L78" s="15"/>
      <c r="M78" s="15"/>
      <c r="N78" s="15"/>
      <c r="O78" s="15"/>
      <c r="P78" s="16"/>
      <c r="Q78" s="13"/>
      <c r="R78" s="9"/>
    </row>
    <row r="79" spans="1:18" ht="5.25" customHeight="1">
      <c r="A79" s="12"/>
      <c r="B79" s="12"/>
      <c r="C79" s="14"/>
      <c r="D79" s="14"/>
      <c r="E79" s="14"/>
      <c r="F79" s="15"/>
      <c r="G79" s="15"/>
      <c r="H79" s="15"/>
      <c r="I79" s="116"/>
      <c r="J79" s="16"/>
      <c r="K79" s="15"/>
      <c r="L79" s="15"/>
      <c r="M79" s="15"/>
      <c r="N79" s="15"/>
      <c r="O79" s="15"/>
      <c r="P79" s="16"/>
      <c r="Q79" s="13"/>
      <c r="R79" s="9"/>
    </row>
    <row r="80" spans="1:18" ht="15" customHeight="1">
      <c r="A80" s="12"/>
      <c r="B80" s="12"/>
      <c r="C80" s="117" t="s">
        <v>72</v>
      </c>
      <c r="D80" s="118">
        <f>COS(RADIANS($F$54-$F$57))*COS(RADIANS($F$54-$F$57))</f>
        <v>0.8830222215594891</v>
      </c>
      <c r="E80" s="118"/>
      <c r="F80" s="118"/>
      <c r="G80" s="118"/>
      <c r="H80" s="118"/>
      <c r="I80" s="118"/>
      <c r="J80" s="16"/>
      <c r="K80" s="15"/>
      <c r="L80" s="15"/>
      <c r="M80" s="15"/>
      <c r="N80" s="15"/>
      <c r="O80" s="15"/>
      <c r="P80" s="16"/>
      <c r="Q80" s="13"/>
      <c r="R80" s="9"/>
    </row>
    <row r="81" spans="1:18" ht="12" customHeight="1">
      <c r="A81" s="12"/>
      <c r="B81" s="12"/>
      <c r="C81" s="117"/>
      <c r="D81" s="119" t="s">
        <v>186</v>
      </c>
      <c r="E81" s="119"/>
      <c r="F81" s="120">
        <f>SIN(RADIANS($F$65+$F$59))*SIN(RADIANS($F$65-$F$56))</f>
        <v>0.11697777844051097</v>
      </c>
      <c r="G81" s="120"/>
      <c r="H81" s="120"/>
      <c r="I81" s="121" t="s">
        <v>183</v>
      </c>
      <c r="J81" s="16"/>
      <c r="K81" s="15"/>
      <c r="L81" s="15"/>
      <c r="M81" s="15"/>
      <c r="N81" s="15"/>
      <c r="O81" s="15"/>
      <c r="P81" s="16"/>
      <c r="Q81" s="13"/>
      <c r="R81" s="9"/>
    </row>
    <row r="82" spans="1:18" ht="11.25" customHeight="1">
      <c r="A82" s="12"/>
      <c r="B82" s="12"/>
      <c r="C82" s="117"/>
      <c r="D82" s="119"/>
      <c r="E82" s="119"/>
      <c r="F82" s="122">
        <f>COS(RADIANS($F$57+$F$59))*COS(RADIANS($F$57-$F$56))</f>
        <v>1</v>
      </c>
      <c r="G82" s="122"/>
      <c r="H82" s="122"/>
      <c r="I82" s="121"/>
      <c r="J82" s="16"/>
      <c r="K82" s="15"/>
      <c r="L82" s="15"/>
      <c r="M82" s="15"/>
      <c r="N82" s="15"/>
      <c r="O82" s="15"/>
      <c r="P82" s="16"/>
      <c r="Q82" s="13"/>
      <c r="R82" s="9"/>
    </row>
    <row r="83" spans="1:18" ht="6" customHeight="1">
      <c r="A83" s="12"/>
      <c r="B83" s="12"/>
      <c r="C83" s="13"/>
      <c r="D83" s="13"/>
      <c r="E83" s="14"/>
      <c r="F83" s="15"/>
      <c r="G83" s="15"/>
      <c r="H83" s="15"/>
      <c r="I83" s="15"/>
      <c r="J83" s="16"/>
      <c r="K83" s="15"/>
      <c r="L83" s="15"/>
      <c r="M83" s="15"/>
      <c r="N83" s="15"/>
      <c r="O83" s="15"/>
      <c r="P83" s="16"/>
      <c r="Q83" s="13"/>
      <c r="R83" s="9"/>
    </row>
    <row r="84" spans="1:18" ht="18" customHeight="1">
      <c r="A84" s="12"/>
      <c r="B84" s="12"/>
      <c r="C84" s="117" t="s">
        <v>72</v>
      </c>
      <c r="D84" s="118">
        <f>$D$80</f>
        <v>0.8830222215594891</v>
      </c>
      <c r="E84" s="118"/>
      <c r="F84" s="118"/>
      <c r="G84" s="118"/>
      <c r="H84" s="118"/>
      <c r="I84" s="118"/>
      <c r="J84" s="16"/>
      <c r="K84" s="15"/>
      <c r="L84" s="15"/>
      <c r="M84" s="15"/>
      <c r="N84" s="15"/>
      <c r="O84" s="15"/>
      <c r="P84" s="16"/>
      <c r="Q84" s="13"/>
      <c r="R84" s="9"/>
    </row>
    <row r="85" spans="1:18" ht="9" customHeight="1">
      <c r="A85" s="12"/>
      <c r="B85" s="12"/>
      <c r="C85" s="117"/>
      <c r="D85" s="123">
        <f>COS(RADIANS($F$57))*COS(RADIANS($F$57))*COS(RADIANS($F$57+$F$59))</f>
        <v>1</v>
      </c>
      <c r="E85" s="123"/>
      <c r="F85" s="124" t="s">
        <v>13</v>
      </c>
      <c r="G85" s="125">
        <f>(1+SQRT($F$81/$F$82))*(1+SQRT($F$81/$F$82))</f>
        <v>1.8010180650918481</v>
      </c>
      <c r="H85" s="125"/>
      <c r="I85" s="125"/>
      <c r="J85" s="16"/>
      <c r="K85" s="15"/>
      <c r="L85" s="15"/>
      <c r="M85" s="15"/>
      <c r="N85" s="15"/>
      <c r="O85" s="15"/>
      <c r="P85" s="16"/>
      <c r="Q85" s="13"/>
      <c r="R85" s="9"/>
    </row>
    <row r="86" spans="1:18" ht="6.75" customHeight="1">
      <c r="A86" s="12"/>
      <c r="B86" s="12"/>
      <c r="C86" s="117"/>
      <c r="D86" s="126"/>
      <c r="E86" s="126"/>
      <c r="F86" s="127"/>
      <c r="G86" s="128"/>
      <c r="H86" s="128"/>
      <c r="I86" s="128"/>
      <c r="J86" s="16"/>
      <c r="K86" s="15"/>
      <c r="L86" s="15"/>
      <c r="M86" s="15"/>
      <c r="N86" s="15"/>
      <c r="O86" s="15"/>
      <c r="P86" s="16"/>
      <c r="Q86" s="13"/>
      <c r="R86" s="9"/>
    </row>
    <row r="87" spans="1:18" ht="3.75" customHeight="1">
      <c r="A87" s="12"/>
      <c r="B87" s="12"/>
      <c r="C87" s="13"/>
      <c r="D87" s="13"/>
      <c r="E87" s="14"/>
      <c r="F87" s="15"/>
      <c r="G87" s="15"/>
      <c r="H87" s="15"/>
      <c r="I87" s="15"/>
      <c r="J87" s="16"/>
      <c r="K87" s="15"/>
      <c r="L87" s="15"/>
      <c r="M87" s="15"/>
      <c r="N87" s="15"/>
      <c r="O87" s="15"/>
      <c r="P87" s="16"/>
      <c r="Q87" s="13"/>
      <c r="R87" s="9"/>
    </row>
    <row r="88" spans="1:18" ht="15" customHeight="1">
      <c r="A88" s="12"/>
      <c r="B88" s="12"/>
      <c r="C88" s="14"/>
      <c r="D88" s="13"/>
      <c r="E88" s="56" t="s">
        <v>72</v>
      </c>
      <c r="F88" s="108">
        <f>ROUND($D$84/($D$85*$G$85),3)</f>
        <v>0.49</v>
      </c>
      <c r="G88" s="15"/>
      <c r="H88" s="15"/>
      <c r="I88" s="15"/>
      <c r="J88" s="16"/>
      <c r="K88" s="15"/>
      <c r="L88" s="15"/>
      <c r="M88" s="15"/>
      <c r="N88" s="15"/>
      <c r="O88" s="15"/>
      <c r="P88" s="16"/>
      <c r="Q88" s="13"/>
      <c r="R88" s="9"/>
    </row>
    <row r="89" spans="1:18" ht="12.75" customHeight="1">
      <c r="A89" s="12"/>
      <c r="B89" s="12"/>
      <c r="C89" s="13"/>
      <c r="D89" s="13"/>
      <c r="E89" s="14"/>
      <c r="F89" s="15"/>
      <c r="G89" s="15"/>
      <c r="H89" s="15"/>
      <c r="I89" s="15"/>
      <c r="J89" s="16"/>
      <c r="K89" s="15"/>
      <c r="L89" s="15"/>
      <c r="M89" s="15"/>
      <c r="N89" s="15"/>
      <c r="O89" s="15"/>
      <c r="P89" s="16"/>
      <c r="Q89" s="13"/>
      <c r="R89" s="9"/>
    </row>
    <row r="90" spans="1:18" ht="13.5">
      <c r="A90" s="12"/>
      <c r="B90" s="49" t="s">
        <v>83</v>
      </c>
      <c r="C90" s="13"/>
      <c r="D90" s="13"/>
      <c r="E90" s="14"/>
      <c r="F90" s="15"/>
      <c r="G90" s="15"/>
      <c r="H90" s="15"/>
      <c r="I90" s="15"/>
      <c r="J90" s="16"/>
      <c r="K90" s="15"/>
      <c r="L90" s="15"/>
      <c r="M90" s="15"/>
      <c r="N90" s="15"/>
      <c r="O90" s="15"/>
      <c r="P90" s="16"/>
      <c r="Q90" s="13"/>
      <c r="R90" s="9"/>
    </row>
    <row r="91" spans="1:18" ht="13.5">
      <c r="A91" s="12"/>
      <c r="B91" s="12"/>
      <c r="C91" s="13"/>
      <c r="D91" s="13"/>
      <c r="E91" s="56" t="s">
        <v>385</v>
      </c>
      <c r="F91" s="15"/>
      <c r="G91" s="15"/>
      <c r="H91" s="15" t="s">
        <v>81</v>
      </c>
      <c r="I91" s="15"/>
      <c r="J91" s="16"/>
      <c r="K91" s="15"/>
      <c r="L91" s="15"/>
      <c r="M91" s="15"/>
      <c r="N91" s="15"/>
      <c r="O91" s="15"/>
      <c r="P91" s="16"/>
      <c r="Q91" s="13"/>
      <c r="R91" s="9"/>
    </row>
    <row r="92" spans="1:18" ht="13.5">
      <c r="A92" s="12"/>
      <c r="B92" s="12"/>
      <c r="C92" s="13"/>
      <c r="D92" s="13"/>
      <c r="E92" s="14" t="s">
        <v>78</v>
      </c>
      <c r="F92" s="15">
        <f>1/2*$F$88</f>
        <v>0.245</v>
      </c>
      <c r="G92" s="60" t="s">
        <v>13</v>
      </c>
      <c r="H92" s="66">
        <f>$F$7</f>
        <v>18</v>
      </c>
      <c r="I92" s="60" t="s">
        <v>79</v>
      </c>
      <c r="J92" s="16">
        <f>$F$12*$F$12</f>
        <v>7.839999999999999</v>
      </c>
      <c r="K92" s="15"/>
      <c r="L92" s="15"/>
      <c r="M92" s="15"/>
      <c r="N92" s="15"/>
      <c r="O92" s="15"/>
      <c r="P92" s="16"/>
      <c r="Q92" s="13"/>
      <c r="R92" s="9"/>
    </row>
    <row r="93" spans="1:18" ht="13.5">
      <c r="A93" s="12"/>
      <c r="B93" s="12"/>
      <c r="C93" s="13"/>
      <c r="D93" s="13"/>
      <c r="E93" s="71" t="s">
        <v>78</v>
      </c>
      <c r="F93" s="129">
        <f>$F$92*$H$92*$J$92</f>
        <v>34.5744</v>
      </c>
      <c r="G93" s="60"/>
      <c r="H93" s="15"/>
      <c r="I93" s="15"/>
      <c r="J93" s="16"/>
      <c r="K93" s="15"/>
      <c r="L93" s="15"/>
      <c r="M93" s="15"/>
      <c r="N93" s="15"/>
      <c r="O93" s="15"/>
      <c r="P93" s="16"/>
      <c r="Q93" s="13"/>
      <c r="R93" s="9"/>
    </row>
    <row r="94" spans="1:18" ht="13.5">
      <c r="A94" s="12"/>
      <c r="B94" s="12"/>
      <c r="C94" s="26" t="s">
        <v>82</v>
      </c>
      <c r="D94" s="13"/>
      <c r="E94" s="14"/>
      <c r="F94" s="15"/>
      <c r="G94" s="60"/>
      <c r="H94" s="15"/>
      <c r="I94" s="15"/>
      <c r="J94" s="16"/>
      <c r="K94" s="15"/>
      <c r="L94" s="15"/>
      <c r="M94" s="15"/>
      <c r="N94" s="15"/>
      <c r="O94" s="15"/>
      <c r="P94" s="16"/>
      <c r="Q94" s="13"/>
      <c r="R94" s="9"/>
    </row>
    <row r="95" spans="1:18" ht="13.5">
      <c r="A95" s="12"/>
      <c r="B95" s="12"/>
      <c r="C95" s="13"/>
      <c r="D95" s="13"/>
      <c r="E95" s="56" t="s">
        <v>87</v>
      </c>
      <c r="F95" s="15"/>
      <c r="G95" s="60"/>
      <c r="H95" s="15" t="s">
        <v>81</v>
      </c>
      <c r="I95" s="15"/>
      <c r="J95" s="16"/>
      <c r="K95" s="15"/>
      <c r="L95" s="15"/>
      <c r="M95" s="15"/>
      <c r="N95" s="15"/>
      <c r="O95" s="15"/>
      <c r="P95" s="16"/>
      <c r="Q95" s="13"/>
      <c r="R95" s="9"/>
    </row>
    <row r="96" spans="1:18" ht="13.5">
      <c r="A96" s="12"/>
      <c r="B96" s="12"/>
      <c r="C96" s="13"/>
      <c r="D96" s="13"/>
      <c r="E96" s="14" t="s">
        <v>84</v>
      </c>
      <c r="F96" s="15">
        <f>$F$93</f>
        <v>34.5744</v>
      </c>
      <c r="G96" s="60" t="s">
        <v>13</v>
      </c>
      <c r="H96" s="15" t="s">
        <v>85</v>
      </c>
      <c r="I96" s="61">
        <f>$F$59</f>
        <v>0</v>
      </c>
      <c r="J96" s="16"/>
      <c r="K96" s="15"/>
      <c r="L96" s="15"/>
      <c r="M96" s="15"/>
      <c r="N96" s="15"/>
      <c r="O96" s="15"/>
      <c r="P96" s="16"/>
      <c r="Q96" s="13"/>
      <c r="R96" s="9"/>
    </row>
    <row r="97" spans="1:18" ht="13.5">
      <c r="A97" s="12"/>
      <c r="B97" s="12"/>
      <c r="C97" s="13"/>
      <c r="D97" s="13"/>
      <c r="E97" s="14" t="s">
        <v>84</v>
      </c>
      <c r="F97" s="15">
        <f>$F$96</f>
        <v>34.5744</v>
      </c>
      <c r="G97" s="60" t="s">
        <v>13</v>
      </c>
      <c r="H97" s="15">
        <f>COS(RADIANS($I$96))</f>
        <v>1</v>
      </c>
      <c r="I97" s="15"/>
      <c r="J97" s="16"/>
      <c r="K97" s="15"/>
      <c r="L97" s="15"/>
      <c r="M97" s="15"/>
      <c r="N97" s="15"/>
      <c r="O97" s="15"/>
      <c r="P97" s="16"/>
      <c r="Q97" s="13"/>
      <c r="R97" s="9"/>
    </row>
    <row r="98" spans="1:18" ht="13.5">
      <c r="A98" s="12"/>
      <c r="B98" s="12"/>
      <c r="C98" s="13"/>
      <c r="D98" s="13"/>
      <c r="E98" s="71" t="s">
        <v>84</v>
      </c>
      <c r="F98" s="129">
        <f>$F$97*$H$97</f>
        <v>34.5744</v>
      </c>
      <c r="G98" s="60"/>
      <c r="H98" s="15"/>
      <c r="I98" s="15"/>
      <c r="J98" s="16"/>
      <c r="K98" s="15"/>
      <c r="L98" s="15"/>
      <c r="M98" s="15"/>
      <c r="N98" s="15"/>
      <c r="O98" s="15"/>
      <c r="P98" s="16"/>
      <c r="Q98" s="13"/>
      <c r="R98" s="9"/>
    </row>
    <row r="99" spans="1:18" ht="13.5">
      <c r="A99" s="12"/>
      <c r="B99" s="12"/>
      <c r="C99" s="26" t="s">
        <v>86</v>
      </c>
      <c r="D99" s="13"/>
      <c r="E99" s="14"/>
      <c r="F99" s="15"/>
      <c r="G99" s="60"/>
      <c r="H99" s="15"/>
      <c r="I99" s="15"/>
      <c r="J99" s="16"/>
      <c r="K99" s="15"/>
      <c r="L99" s="15"/>
      <c r="M99" s="15"/>
      <c r="N99" s="15"/>
      <c r="O99" s="15"/>
      <c r="P99" s="16"/>
      <c r="Q99" s="13"/>
      <c r="R99" s="9"/>
    </row>
    <row r="100" spans="1:18" ht="13.5">
      <c r="A100" s="12"/>
      <c r="B100" s="12"/>
      <c r="C100" s="13"/>
      <c r="D100" s="13"/>
      <c r="E100" s="56" t="s">
        <v>88</v>
      </c>
      <c r="F100" s="15"/>
      <c r="G100" s="60"/>
      <c r="H100" s="15" t="s">
        <v>81</v>
      </c>
      <c r="I100" s="15"/>
      <c r="J100" s="16"/>
      <c r="K100" s="15"/>
      <c r="L100" s="15"/>
      <c r="M100" s="15"/>
      <c r="N100" s="15"/>
      <c r="O100" s="15"/>
      <c r="P100" s="16"/>
      <c r="Q100" s="13"/>
      <c r="R100" s="9"/>
    </row>
    <row r="101" spans="1:18" ht="13.5">
      <c r="A101" s="12"/>
      <c r="B101" s="12"/>
      <c r="C101" s="13"/>
      <c r="D101" s="13"/>
      <c r="E101" s="14" t="s">
        <v>89</v>
      </c>
      <c r="F101" s="15">
        <f>$F$93</f>
        <v>34.5744</v>
      </c>
      <c r="G101" s="60" t="s">
        <v>13</v>
      </c>
      <c r="H101" s="15" t="s">
        <v>90</v>
      </c>
      <c r="I101" s="61">
        <f>$F$59</f>
        <v>0</v>
      </c>
      <c r="J101" s="16"/>
      <c r="K101" s="15"/>
      <c r="L101" s="15"/>
      <c r="M101" s="15"/>
      <c r="N101" s="15"/>
      <c r="O101" s="15"/>
      <c r="P101" s="16"/>
      <c r="Q101" s="13"/>
      <c r="R101" s="9"/>
    </row>
    <row r="102" spans="1:18" ht="13.5">
      <c r="A102" s="12"/>
      <c r="B102" s="12"/>
      <c r="C102" s="13"/>
      <c r="D102" s="13"/>
      <c r="E102" s="14" t="s">
        <v>89</v>
      </c>
      <c r="F102" s="15">
        <f>$F$101</f>
        <v>34.5744</v>
      </c>
      <c r="G102" s="60" t="s">
        <v>13</v>
      </c>
      <c r="H102" s="15">
        <f>SIN(RADIANS($I$101))</f>
        <v>0</v>
      </c>
      <c r="I102" s="15"/>
      <c r="J102" s="16"/>
      <c r="K102" s="15"/>
      <c r="L102" s="15"/>
      <c r="M102" s="15"/>
      <c r="N102" s="15"/>
      <c r="O102" s="15"/>
      <c r="P102" s="16"/>
      <c r="Q102" s="13"/>
      <c r="R102" s="9"/>
    </row>
    <row r="103" spans="1:18" ht="13.5">
      <c r="A103" s="12"/>
      <c r="B103" s="12"/>
      <c r="C103" s="13"/>
      <c r="D103" s="13"/>
      <c r="E103" s="56" t="s">
        <v>89</v>
      </c>
      <c r="F103" s="67">
        <f>$F$102*$H$102</f>
        <v>0</v>
      </c>
      <c r="G103" s="60"/>
      <c r="H103" s="15"/>
      <c r="I103" s="15"/>
      <c r="J103" s="16"/>
      <c r="K103" s="15"/>
      <c r="L103" s="15"/>
      <c r="M103" s="15"/>
      <c r="N103" s="15"/>
      <c r="O103" s="15"/>
      <c r="P103" s="16"/>
      <c r="Q103" s="13"/>
      <c r="R103" s="9"/>
    </row>
    <row r="104" spans="1:18" ht="13.5">
      <c r="A104" s="12"/>
      <c r="B104" s="12"/>
      <c r="C104" s="13"/>
      <c r="D104" s="13"/>
      <c r="E104" s="14"/>
      <c r="F104" s="15"/>
      <c r="G104" s="60"/>
      <c r="H104" s="15"/>
      <c r="I104" s="15"/>
      <c r="J104" s="16"/>
      <c r="K104" s="15"/>
      <c r="L104" s="15"/>
      <c r="M104" s="15"/>
      <c r="N104" s="15"/>
      <c r="O104" s="15"/>
      <c r="P104" s="16"/>
      <c r="Q104" s="13"/>
      <c r="R104" s="9"/>
    </row>
    <row r="105" spans="1:18" ht="13.5">
      <c r="A105" s="12"/>
      <c r="B105" s="49" t="s">
        <v>107</v>
      </c>
      <c r="C105" s="13"/>
      <c r="D105" s="13"/>
      <c r="E105" s="14"/>
      <c r="F105" s="15"/>
      <c r="G105" s="60"/>
      <c r="H105" s="15"/>
      <c r="I105" s="15"/>
      <c r="J105" s="16"/>
      <c r="K105" s="15"/>
      <c r="L105" s="15"/>
      <c r="M105" s="15"/>
      <c r="N105" s="15"/>
      <c r="O105" s="15"/>
      <c r="P105" s="16"/>
      <c r="Q105" s="13"/>
      <c r="R105" s="9"/>
    </row>
    <row r="106" spans="1:18" ht="13.5">
      <c r="A106" s="12"/>
      <c r="B106" s="12"/>
      <c r="C106" s="13"/>
      <c r="D106" s="13"/>
      <c r="E106" s="56" t="s">
        <v>92</v>
      </c>
      <c r="F106" s="15"/>
      <c r="G106" s="15"/>
      <c r="H106" s="15" t="s">
        <v>102</v>
      </c>
      <c r="I106" s="15"/>
      <c r="J106" s="16"/>
      <c r="K106" s="15"/>
      <c r="L106" s="15"/>
      <c r="M106" s="15"/>
      <c r="N106" s="15"/>
      <c r="O106" s="15"/>
      <c r="P106" s="16"/>
      <c r="Q106" s="13"/>
      <c r="R106" s="9"/>
    </row>
    <row r="107" spans="1:18" ht="13.5">
      <c r="A107" s="12"/>
      <c r="B107" s="12"/>
      <c r="C107" s="13"/>
      <c r="D107" s="13"/>
      <c r="E107" s="14" t="s">
        <v>93</v>
      </c>
      <c r="F107" s="15">
        <f>$F$88</f>
        <v>0.49</v>
      </c>
      <c r="G107" s="60" t="s">
        <v>79</v>
      </c>
      <c r="H107" s="66">
        <f>$F$48</f>
        <v>9.8</v>
      </c>
      <c r="I107" s="60" t="s">
        <v>79</v>
      </c>
      <c r="J107" s="16">
        <f>$F$12</f>
        <v>2.8</v>
      </c>
      <c r="K107" s="15"/>
      <c r="L107" s="15"/>
      <c r="M107" s="15"/>
      <c r="N107" s="15"/>
      <c r="O107" s="15"/>
      <c r="P107" s="16"/>
      <c r="Q107" s="13"/>
      <c r="R107" s="9"/>
    </row>
    <row r="108" spans="1:18" ht="13.5">
      <c r="A108" s="12"/>
      <c r="B108" s="12"/>
      <c r="C108" s="13"/>
      <c r="D108" s="13"/>
      <c r="E108" s="56" t="s">
        <v>93</v>
      </c>
      <c r="F108" s="67">
        <f>$F$107*$H$107*$J$107</f>
        <v>13.4456</v>
      </c>
      <c r="G108" s="15"/>
      <c r="H108" s="15"/>
      <c r="I108" s="15"/>
      <c r="J108" s="16"/>
      <c r="K108" s="15"/>
      <c r="L108" s="15"/>
      <c r="M108" s="15"/>
      <c r="N108" s="15"/>
      <c r="O108" s="15"/>
      <c r="P108" s="16"/>
      <c r="Q108" s="13"/>
      <c r="R108" s="9"/>
    </row>
    <row r="109" spans="1:18" ht="13.5">
      <c r="A109" s="12"/>
      <c r="B109" s="12"/>
      <c r="C109" s="26" t="s">
        <v>108</v>
      </c>
      <c r="D109" s="13"/>
      <c r="E109" s="14"/>
      <c r="F109" s="15"/>
      <c r="G109" s="15"/>
      <c r="H109" s="15"/>
      <c r="I109" s="15"/>
      <c r="J109" s="16"/>
      <c r="K109" s="15"/>
      <c r="L109" s="15"/>
      <c r="M109" s="15"/>
      <c r="N109" s="15"/>
      <c r="O109" s="15"/>
      <c r="P109" s="16"/>
      <c r="Q109" s="13"/>
      <c r="R109" s="9"/>
    </row>
    <row r="110" spans="1:18" ht="13.5">
      <c r="A110" s="12"/>
      <c r="B110" s="12"/>
      <c r="C110" s="13"/>
      <c r="D110" s="13"/>
      <c r="E110" s="71" t="s">
        <v>95</v>
      </c>
      <c r="F110" s="15"/>
      <c r="G110" s="15"/>
      <c r="H110" s="15" t="s">
        <v>103</v>
      </c>
      <c r="I110" s="15"/>
      <c r="J110" s="16"/>
      <c r="K110" s="15"/>
      <c r="L110" s="15"/>
      <c r="M110" s="15"/>
      <c r="N110" s="15"/>
      <c r="O110" s="15"/>
      <c r="P110" s="16"/>
      <c r="Q110" s="13"/>
      <c r="R110" s="9"/>
    </row>
    <row r="111" spans="1:18" ht="13.5">
      <c r="A111" s="12"/>
      <c r="B111" s="12"/>
      <c r="C111" s="13"/>
      <c r="D111" s="13"/>
      <c r="E111" s="14" t="s">
        <v>94</v>
      </c>
      <c r="F111" s="15">
        <f>$F$108</f>
        <v>13.4456</v>
      </c>
      <c r="G111" s="60" t="s">
        <v>79</v>
      </c>
      <c r="H111" s="15" t="s">
        <v>85</v>
      </c>
      <c r="I111" s="61">
        <f>$F$59</f>
        <v>0</v>
      </c>
      <c r="J111" s="16"/>
      <c r="K111" s="15"/>
      <c r="L111" s="15"/>
      <c r="M111" s="15"/>
      <c r="N111" s="15"/>
      <c r="O111" s="15"/>
      <c r="P111" s="16"/>
      <c r="Q111" s="13"/>
      <c r="R111" s="9"/>
    </row>
    <row r="112" spans="1:18" ht="13.5">
      <c r="A112" s="12"/>
      <c r="B112" s="12"/>
      <c r="C112" s="13"/>
      <c r="D112" s="13"/>
      <c r="E112" s="14" t="s">
        <v>94</v>
      </c>
      <c r="F112" s="15">
        <f>$F$111</f>
        <v>13.4456</v>
      </c>
      <c r="G112" s="60" t="s">
        <v>79</v>
      </c>
      <c r="H112" s="15">
        <f>COS(RADIANS($I$111))</f>
        <v>1</v>
      </c>
      <c r="I112" s="15"/>
      <c r="J112" s="16"/>
      <c r="K112" s="15"/>
      <c r="L112" s="15"/>
      <c r="M112" s="15"/>
      <c r="N112" s="15"/>
      <c r="O112" s="15"/>
      <c r="P112" s="16"/>
      <c r="Q112" s="13"/>
      <c r="R112" s="9"/>
    </row>
    <row r="113" spans="1:18" ht="13.5">
      <c r="A113" s="12"/>
      <c r="B113" s="12"/>
      <c r="C113" s="13"/>
      <c r="D113" s="13"/>
      <c r="E113" s="56" t="s">
        <v>94</v>
      </c>
      <c r="F113" s="67">
        <f>$F$112*$H$112</f>
        <v>13.4456</v>
      </c>
      <c r="G113" s="15"/>
      <c r="H113" s="15"/>
      <c r="I113" s="15"/>
      <c r="J113" s="16"/>
      <c r="K113" s="15"/>
      <c r="L113" s="15"/>
      <c r="M113" s="15"/>
      <c r="N113" s="15"/>
      <c r="O113" s="15"/>
      <c r="P113" s="16"/>
      <c r="Q113" s="13"/>
      <c r="R113" s="9"/>
    </row>
    <row r="114" spans="1:18" ht="13.5">
      <c r="A114" s="12"/>
      <c r="B114" s="12"/>
      <c r="C114" s="26" t="s">
        <v>109</v>
      </c>
      <c r="D114" s="13"/>
      <c r="E114" s="14"/>
      <c r="F114" s="15"/>
      <c r="G114" s="15"/>
      <c r="H114" s="15"/>
      <c r="I114" s="15"/>
      <c r="J114" s="16"/>
      <c r="K114" s="15"/>
      <c r="L114" s="15"/>
      <c r="M114" s="15"/>
      <c r="N114" s="15"/>
      <c r="O114" s="15"/>
      <c r="P114" s="16"/>
      <c r="Q114" s="13"/>
      <c r="R114" s="9"/>
    </row>
    <row r="115" spans="1:18" ht="13.5">
      <c r="A115" s="12"/>
      <c r="B115" s="12"/>
      <c r="C115" s="13"/>
      <c r="D115" s="13"/>
      <c r="E115" s="56" t="s">
        <v>96</v>
      </c>
      <c r="F115" s="15"/>
      <c r="G115" s="15"/>
      <c r="H115" s="15" t="s">
        <v>103</v>
      </c>
      <c r="I115" s="15"/>
      <c r="J115" s="16"/>
      <c r="K115" s="15"/>
      <c r="L115" s="15"/>
      <c r="M115" s="15"/>
      <c r="N115" s="15"/>
      <c r="O115" s="15"/>
      <c r="P115" s="16"/>
      <c r="Q115" s="13"/>
      <c r="R115" s="9"/>
    </row>
    <row r="116" spans="1:18" ht="13.5">
      <c r="A116" s="12"/>
      <c r="B116" s="12"/>
      <c r="C116" s="13"/>
      <c r="D116" s="13"/>
      <c r="E116" s="14" t="s">
        <v>97</v>
      </c>
      <c r="F116" s="15">
        <f>$F$108</f>
        <v>13.4456</v>
      </c>
      <c r="G116" s="15"/>
      <c r="H116" s="15" t="s">
        <v>90</v>
      </c>
      <c r="I116" s="61">
        <f>$F$59</f>
        <v>0</v>
      </c>
      <c r="J116" s="16"/>
      <c r="K116" s="15"/>
      <c r="L116" s="15"/>
      <c r="M116" s="15"/>
      <c r="N116" s="15"/>
      <c r="O116" s="15"/>
      <c r="P116" s="16"/>
      <c r="Q116" s="13"/>
      <c r="R116" s="9"/>
    </row>
    <row r="117" spans="1:18" ht="13.5">
      <c r="A117" s="12"/>
      <c r="B117" s="12"/>
      <c r="C117" s="13"/>
      <c r="D117" s="13"/>
      <c r="E117" s="14" t="s">
        <v>97</v>
      </c>
      <c r="F117" s="15">
        <f>$F$116</f>
        <v>13.4456</v>
      </c>
      <c r="G117" s="15"/>
      <c r="H117" s="15">
        <f>SIN(RADIANS($I$116))</f>
        <v>0</v>
      </c>
      <c r="I117" s="15"/>
      <c r="J117" s="16"/>
      <c r="K117" s="15"/>
      <c r="L117" s="15"/>
      <c r="M117" s="15"/>
      <c r="N117" s="15"/>
      <c r="O117" s="15"/>
      <c r="P117" s="16"/>
      <c r="Q117" s="13"/>
      <c r="R117" s="9"/>
    </row>
    <row r="118" spans="1:18" ht="13.5">
      <c r="A118" s="12"/>
      <c r="B118" s="12"/>
      <c r="C118" s="13"/>
      <c r="D118" s="13"/>
      <c r="E118" s="56" t="s">
        <v>97</v>
      </c>
      <c r="F118" s="67">
        <f>$F$117*$H$117</f>
        <v>0</v>
      </c>
      <c r="G118" s="15"/>
      <c r="H118" s="15"/>
      <c r="I118" s="15"/>
      <c r="J118" s="16"/>
      <c r="K118" s="15"/>
      <c r="L118" s="15"/>
      <c r="M118" s="15"/>
      <c r="N118" s="15"/>
      <c r="O118" s="15"/>
      <c r="P118" s="16"/>
      <c r="Q118" s="13"/>
      <c r="R118" s="9"/>
    </row>
    <row r="119" spans="1:18" ht="5.25" customHeight="1">
      <c r="A119" s="12"/>
      <c r="B119" s="12"/>
      <c r="C119" s="13"/>
      <c r="D119" s="13"/>
      <c r="E119" s="14"/>
      <c r="F119" s="15"/>
      <c r="G119" s="15"/>
      <c r="H119" s="15"/>
      <c r="I119" s="15"/>
      <c r="J119" s="16"/>
      <c r="K119" s="15"/>
      <c r="L119" s="15"/>
      <c r="M119" s="15"/>
      <c r="N119" s="15"/>
      <c r="O119" s="15"/>
      <c r="P119" s="16"/>
      <c r="Q119" s="13"/>
      <c r="R119" s="9"/>
    </row>
    <row r="120" spans="1:18" ht="13.5">
      <c r="A120" s="12"/>
      <c r="B120" s="49" t="s">
        <v>110</v>
      </c>
      <c r="C120" s="13"/>
      <c r="D120" s="13"/>
      <c r="E120" s="14"/>
      <c r="F120" s="15"/>
      <c r="G120" s="15"/>
      <c r="H120" s="15"/>
      <c r="I120" s="15"/>
      <c r="J120" s="16"/>
      <c r="K120" s="15"/>
      <c r="L120" s="15"/>
      <c r="M120" s="15"/>
      <c r="N120" s="15"/>
      <c r="O120" s="15"/>
      <c r="P120" s="16"/>
      <c r="Q120" s="13"/>
      <c r="R120" s="9"/>
    </row>
    <row r="121" spans="1:18" ht="13.5">
      <c r="A121" s="12"/>
      <c r="B121" s="12"/>
      <c r="C121" s="26" t="s">
        <v>111</v>
      </c>
      <c r="D121" s="13"/>
      <c r="E121" s="14"/>
      <c r="F121" s="15"/>
      <c r="G121" s="15"/>
      <c r="H121" s="15"/>
      <c r="I121" s="15"/>
      <c r="J121" s="16"/>
      <c r="K121" s="15"/>
      <c r="L121" s="15"/>
      <c r="M121" s="15"/>
      <c r="N121" s="15"/>
      <c r="O121" s="15"/>
      <c r="P121" s="16"/>
      <c r="Q121" s="13"/>
      <c r="R121" s="9"/>
    </row>
    <row r="122" spans="1:18" ht="13.5">
      <c r="A122" s="12"/>
      <c r="B122" s="12"/>
      <c r="C122" s="13"/>
      <c r="D122" s="13"/>
      <c r="E122" s="71" t="s">
        <v>98</v>
      </c>
      <c r="F122" s="67"/>
      <c r="G122" s="15"/>
      <c r="H122" s="15" t="s">
        <v>104</v>
      </c>
      <c r="I122" s="15"/>
      <c r="J122" s="16"/>
      <c r="K122" s="15"/>
      <c r="L122" s="15"/>
      <c r="M122" s="15"/>
      <c r="N122" s="15"/>
      <c r="O122" s="15"/>
      <c r="P122" s="16"/>
      <c r="Q122" s="13"/>
      <c r="R122" s="9"/>
    </row>
    <row r="123" spans="1:18" ht="13.5">
      <c r="A123" s="12"/>
      <c r="B123" s="12"/>
      <c r="C123" s="13"/>
      <c r="D123" s="13"/>
      <c r="E123" s="56" t="s">
        <v>99</v>
      </c>
      <c r="F123" s="67">
        <f>1/3*$F$12</f>
        <v>0.9333333333333332</v>
      </c>
      <c r="G123" s="15"/>
      <c r="H123" s="15"/>
      <c r="I123" s="15"/>
      <c r="J123" s="16"/>
      <c r="K123" s="15"/>
      <c r="L123" s="15"/>
      <c r="M123" s="15"/>
      <c r="N123" s="15"/>
      <c r="O123" s="15"/>
      <c r="P123" s="16"/>
      <c r="Q123" s="13"/>
      <c r="R123" s="9"/>
    </row>
    <row r="124" spans="1:18" ht="13.5">
      <c r="A124" s="12"/>
      <c r="B124" s="12"/>
      <c r="C124" s="26" t="s">
        <v>112</v>
      </c>
      <c r="D124" s="13"/>
      <c r="E124" s="14"/>
      <c r="F124" s="15"/>
      <c r="G124" s="15"/>
      <c r="H124" s="15"/>
      <c r="I124" s="15"/>
      <c r="J124" s="16"/>
      <c r="K124" s="15"/>
      <c r="L124" s="15"/>
      <c r="M124" s="15"/>
      <c r="N124" s="15"/>
      <c r="O124" s="15"/>
      <c r="P124" s="16"/>
      <c r="Q124" s="13"/>
      <c r="R124" s="9"/>
    </row>
    <row r="125" spans="1:18" ht="13.5">
      <c r="A125" s="12"/>
      <c r="B125" s="12"/>
      <c r="C125" s="13"/>
      <c r="D125" s="13"/>
      <c r="E125" s="56" t="s">
        <v>100</v>
      </c>
      <c r="F125" s="67"/>
      <c r="G125" s="15"/>
      <c r="H125" s="15" t="s">
        <v>104</v>
      </c>
      <c r="I125" s="15"/>
      <c r="J125" s="16"/>
      <c r="K125" s="15"/>
      <c r="L125" s="15"/>
      <c r="M125" s="15"/>
      <c r="N125" s="15"/>
      <c r="O125" s="15"/>
      <c r="P125" s="16"/>
      <c r="Q125" s="13"/>
      <c r="R125" s="9"/>
    </row>
    <row r="126" spans="1:18" ht="13.5">
      <c r="A126" s="12"/>
      <c r="B126" s="12"/>
      <c r="C126" s="13"/>
      <c r="D126" s="13"/>
      <c r="E126" s="56" t="s">
        <v>101</v>
      </c>
      <c r="F126" s="67">
        <f>1/2*$F$12</f>
        <v>1.4</v>
      </c>
      <c r="G126" s="15"/>
      <c r="H126" s="15"/>
      <c r="I126" s="15"/>
      <c r="J126" s="16"/>
      <c r="K126" s="15"/>
      <c r="L126" s="15"/>
      <c r="M126" s="15"/>
      <c r="N126" s="15"/>
      <c r="O126" s="15"/>
      <c r="P126" s="16"/>
      <c r="Q126" s="13"/>
      <c r="R126" s="9"/>
    </row>
    <row r="127" spans="1:18" ht="19.5" customHeight="1">
      <c r="A127" s="12"/>
      <c r="B127" s="12"/>
      <c r="C127" s="13"/>
      <c r="D127" s="13"/>
      <c r="E127" s="14"/>
      <c r="F127" s="15"/>
      <c r="G127" s="15"/>
      <c r="H127" s="15"/>
      <c r="I127" s="15"/>
      <c r="J127" s="16"/>
      <c r="K127" s="15"/>
      <c r="L127" s="15"/>
      <c r="M127" s="15"/>
      <c r="N127" s="15"/>
      <c r="O127" s="15"/>
      <c r="P127" s="16"/>
      <c r="Q127" s="13"/>
      <c r="R127" s="9"/>
    </row>
    <row r="128" spans="1:18" ht="15.75" customHeight="1">
      <c r="A128" s="49" t="s">
        <v>113</v>
      </c>
      <c r="B128" s="12"/>
      <c r="C128" s="13"/>
      <c r="D128" s="13"/>
      <c r="E128" s="14"/>
      <c r="F128" s="15"/>
      <c r="G128" s="15"/>
      <c r="H128" s="15"/>
      <c r="I128" s="15"/>
      <c r="J128" s="16"/>
      <c r="K128" s="15"/>
      <c r="L128" s="15"/>
      <c r="M128" s="15"/>
      <c r="N128" s="15"/>
      <c r="O128" s="15"/>
      <c r="P128" s="16"/>
      <c r="Q128" s="13"/>
      <c r="R128" s="9"/>
    </row>
    <row r="129" spans="1:18" ht="13.5">
      <c r="A129" s="12"/>
      <c r="B129" s="49" t="s">
        <v>115</v>
      </c>
      <c r="C129" s="13"/>
      <c r="D129" s="13"/>
      <c r="E129" s="14"/>
      <c r="F129" s="15"/>
      <c r="G129" s="15"/>
      <c r="H129" s="15" t="s">
        <v>129</v>
      </c>
      <c r="I129" s="15"/>
      <c r="J129" s="16"/>
      <c r="K129" s="15"/>
      <c r="L129" s="15"/>
      <c r="M129" s="15"/>
      <c r="N129" s="15"/>
      <c r="O129" s="15"/>
      <c r="P129" s="16"/>
      <c r="Q129" s="13"/>
      <c r="R129" s="9"/>
    </row>
    <row r="130" spans="1:18" ht="13.5">
      <c r="A130" s="12"/>
      <c r="B130" s="12"/>
      <c r="C130" s="13" t="s">
        <v>116</v>
      </c>
      <c r="D130" s="13"/>
      <c r="E130" s="14" t="s">
        <v>125</v>
      </c>
      <c r="F130" s="15">
        <f>$I$28</f>
        <v>161.925</v>
      </c>
      <c r="G130" s="15"/>
      <c r="H130" s="15"/>
      <c r="I130" s="15"/>
      <c r="J130" s="16"/>
      <c r="K130" s="15"/>
      <c r="L130" s="15"/>
      <c r="M130" s="15"/>
      <c r="N130" s="15"/>
      <c r="O130" s="15"/>
      <c r="P130" s="16"/>
      <c r="Q130" s="13"/>
      <c r="R130" s="9"/>
    </row>
    <row r="131" spans="1:18" ht="13.5">
      <c r="A131" s="12"/>
      <c r="B131" s="12"/>
      <c r="C131" s="13" t="s">
        <v>118</v>
      </c>
      <c r="D131" s="13"/>
      <c r="E131" s="14" t="s">
        <v>117</v>
      </c>
      <c r="F131" s="15">
        <f>$F$103</f>
        <v>0</v>
      </c>
      <c r="G131" s="15"/>
      <c r="H131" s="15"/>
      <c r="I131" s="15"/>
      <c r="J131" s="16"/>
      <c r="K131" s="15"/>
      <c r="L131" s="15"/>
      <c r="M131" s="15"/>
      <c r="N131" s="15"/>
      <c r="O131" s="15"/>
      <c r="P131" s="16"/>
      <c r="Q131" s="13"/>
      <c r="R131" s="9"/>
    </row>
    <row r="132" spans="1:18" ht="13.5">
      <c r="A132" s="12"/>
      <c r="B132" s="12"/>
      <c r="C132" s="13" t="s">
        <v>119</v>
      </c>
      <c r="D132" s="13"/>
      <c r="E132" s="14" t="s">
        <v>120</v>
      </c>
      <c r="F132" s="15">
        <f>$F$118</f>
        <v>0</v>
      </c>
      <c r="G132" s="15"/>
      <c r="H132" s="15"/>
      <c r="I132" s="15"/>
      <c r="J132" s="16"/>
      <c r="K132" s="15"/>
      <c r="L132" s="15"/>
      <c r="M132" s="15"/>
      <c r="N132" s="15"/>
      <c r="O132" s="15"/>
      <c r="P132" s="16"/>
      <c r="Q132" s="13"/>
      <c r="R132" s="9"/>
    </row>
    <row r="133" spans="1:18" ht="13.5">
      <c r="A133" s="12"/>
      <c r="B133" s="12"/>
      <c r="C133" s="13" t="s">
        <v>121</v>
      </c>
      <c r="D133" s="13"/>
      <c r="E133" s="14" t="s">
        <v>123</v>
      </c>
      <c r="F133" s="15">
        <f>$I$49</f>
        <v>26.460000000000004</v>
      </c>
      <c r="G133" s="15"/>
      <c r="H133" s="15"/>
      <c r="I133" s="15"/>
      <c r="J133" s="16"/>
      <c r="K133" s="15"/>
      <c r="L133" s="15"/>
      <c r="M133" s="15"/>
      <c r="N133" s="15"/>
      <c r="O133" s="15"/>
      <c r="P133" s="16"/>
      <c r="Q133" s="13"/>
      <c r="R133" s="9"/>
    </row>
    <row r="134" spans="1:18" ht="13.5">
      <c r="A134" s="12"/>
      <c r="B134" s="12"/>
      <c r="C134" s="26" t="s">
        <v>130</v>
      </c>
      <c r="D134" s="13"/>
      <c r="E134" s="56" t="s">
        <v>159</v>
      </c>
      <c r="F134" s="67">
        <f>$F$130+$F$131+$F$132+$F$133</f>
        <v>188.38500000000002</v>
      </c>
      <c r="G134" s="15"/>
      <c r="H134" s="15"/>
      <c r="I134" s="15"/>
      <c r="J134" s="16"/>
      <c r="K134" s="15"/>
      <c r="L134" s="15"/>
      <c r="M134" s="15"/>
      <c r="N134" s="15"/>
      <c r="O134" s="15"/>
      <c r="P134" s="16"/>
      <c r="Q134" s="13"/>
      <c r="R134" s="9"/>
    </row>
    <row r="135" spans="1:18" ht="13.5">
      <c r="A135" s="12"/>
      <c r="B135" s="49" t="s">
        <v>124</v>
      </c>
      <c r="C135" s="13"/>
      <c r="D135" s="13"/>
      <c r="E135" s="14"/>
      <c r="F135" s="15"/>
      <c r="G135" s="15"/>
      <c r="H135" s="15" t="s">
        <v>103</v>
      </c>
      <c r="I135" s="15"/>
      <c r="J135" s="16"/>
      <c r="K135" s="15"/>
      <c r="L135" s="15"/>
      <c r="M135" s="15"/>
      <c r="N135" s="15"/>
      <c r="O135" s="15"/>
      <c r="P135" s="16"/>
      <c r="Q135" s="13"/>
      <c r="R135" s="9"/>
    </row>
    <row r="136" spans="1:18" ht="13.5">
      <c r="A136" s="12"/>
      <c r="B136" s="12"/>
      <c r="C136" s="13" t="s">
        <v>116</v>
      </c>
      <c r="D136" s="13"/>
      <c r="E136" s="14"/>
      <c r="F136" s="15"/>
      <c r="G136" s="15"/>
      <c r="H136" s="15"/>
      <c r="I136" s="15"/>
      <c r="J136" s="16"/>
      <c r="K136" s="15"/>
      <c r="L136" s="15"/>
      <c r="M136" s="15"/>
      <c r="N136" s="15"/>
      <c r="O136" s="15"/>
      <c r="P136" s="16"/>
      <c r="Q136" s="13"/>
      <c r="R136" s="9"/>
    </row>
    <row r="137" spans="1:18" ht="13.5">
      <c r="A137" s="12"/>
      <c r="B137" s="12"/>
      <c r="C137" s="13" t="s">
        <v>118</v>
      </c>
      <c r="D137" s="13"/>
      <c r="E137" s="14" t="s">
        <v>84</v>
      </c>
      <c r="F137" s="15">
        <f>$F$98</f>
        <v>34.5744</v>
      </c>
      <c r="G137" s="15"/>
      <c r="H137" s="15"/>
      <c r="I137" s="15"/>
      <c r="J137" s="16"/>
      <c r="K137" s="15"/>
      <c r="L137" s="15"/>
      <c r="M137" s="15"/>
      <c r="N137" s="15"/>
      <c r="O137" s="15"/>
      <c r="P137" s="16"/>
      <c r="Q137" s="13"/>
      <c r="R137" s="9"/>
    </row>
    <row r="138" spans="1:18" ht="13.5">
      <c r="A138" s="12"/>
      <c r="B138" s="12"/>
      <c r="C138" s="13" t="s">
        <v>119</v>
      </c>
      <c r="D138" s="13"/>
      <c r="E138" s="14" t="s">
        <v>126</v>
      </c>
      <c r="F138" s="15">
        <f>$F$113</f>
        <v>13.4456</v>
      </c>
      <c r="G138" s="15"/>
      <c r="H138" s="15"/>
      <c r="I138" s="15"/>
      <c r="J138" s="16"/>
      <c r="K138" s="15"/>
      <c r="L138" s="15"/>
      <c r="M138" s="15"/>
      <c r="N138" s="15"/>
      <c r="O138" s="15"/>
      <c r="P138" s="16"/>
      <c r="Q138" s="13"/>
      <c r="R138" s="9"/>
    </row>
    <row r="139" spans="1:18" ht="13.5">
      <c r="A139" s="12"/>
      <c r="B139" s="12"/>
      <c r="C139" s="13" t="s">
        <v>121</v>
      </c>
      <c r="D139" s="13"/>
      <c r="E139" s="14"/>
      <c r="F139" s="15"/>
      <c r="G139" s="15"/>
      <c r="H139" s="15"/>
      <c r="I139" s="15"/>
      <c r="J139" s="16"/>
      <c r="K139" s="15"/>
      <c r="L139" s="15"/>
      <c r="M139" s="15"/>
      <c r="N139" s="15"/>
      <c r="O139" s="15"/>
      <c r="P139" s="16"/>
      <c r="Q139" s="13"/>
      <c r="R139" s="9"/>
    </row>
    <row r="140" spans="1:18" ht="13.5">
      <c r="A140" s="12"/>
      <c r="B140" s="12"/>
      <c r="C140" s="26" t="s">
        <v>130</v>
      </c>
      <c r="D140" s="26"/>
      <c r="E140" s="56" t="s">
        <v>160</v>
      </c>
      <c r="F140" s="67">
        <f>$F$137+$F$138</f>
        <v>48.019999999999996</v>
      </c>
      <c r="G140" s="15"/>
      <c r="H140" s="15"/>
      <c r="I140" s="15"/>
      <c r="J140" s="16"/>
      <c r="K140" s="15"/>
      <c r="L140" s="15"/>
      <c r="M140" s="15"/>
      <c r="N140" s="15"/>
      <c r="O140" s="15"/>
      <c r="P140" s="16"/>
      <c r="Q140" s="13"/>
      <c r="R140" s="9"/>
    </row>
    <row r="141" spans="1:18" ht="13.5">
      <c r="A141" s="12"/>
      <c r="B141" s="49" t="s">
        <v>127</v>
      </c>
      <c r="C141" s="13"/>
      <c r="D141" s="13"/>
      <c r="E141" s="14"/>
      <c r="F141" s="15"/>
      <c r="G141" s="15"/>
      <c r="H141" s="15" t="s">
        <v>145</v>
      </c>
      <c r="I141" s="15"/>
      <c r="J141" s="16"/>
      <c r="K141" s="15"/>
      <c r="L141" s="15"/>
      <c r="M141" s="15"/>
      <c r="N141" s="15"/>
      <c r="O141" s="15"/>
      <c r="P141" s="16"/>
      <c r="Q141" s="13"/>
      <c r="R141" s="9"/>
    </row>
    <row r="142" spans="1:18" ht="13.5">
      <c r="A142" s="12"/>
      <c r="B142" s="12"/>
      <c r="C142" s="13" t="s">
        <v>128</v>
      </c>
      <c r="D142" s="13"/>
      <c r="E142" s="14" t="s">
        <v>131</v>
      </c>
      <c r="F142" s="15">
        <f>$I$41</f>
        <v>236.30625000000003</v>
      </c>
      <c r="G142" s="15"/>
      <c r="H142" s="15"/>
      <c r="I142" s="15"/>
      <c r="J142" s="16"/>
      <c r="K142" s="15"/>
      <c r="L142" s="15"/>
      <c r="M142" s="15"/>
      <c r="N142" s="15"/>
      <c r="O142" s="15"/>
      <c r="P142" s="16"/>
      <c r="Q142" s="13"/>
      <c r="R142" s="9"/>
    </row>
    <row r="143" spans="1:18" ht="13.5">
      <c r="A143" s="12"/>
      <c r="B143" s="12"/>
      <c r="C143" s="13" t="s">
        <v>141</v>
      </c>
      <c r="D143" s="13"/>
      <c r="E143" s="14"/>
      <c r="F143" s="15"/>
      <c r="G143" s="15"/>
      <c r="H143" s="15"/>
      <c r="I143" s="15"/>
      <c r="J143" s="16"/>
      <c r="K143" s="15"/>
      <c r="L143" s="15"/>
      <c r="M143" s="15"/>
      <c r="N143" s="15"/>
      <c r="O143" s="15"/>
      <c r="P143" s="16"/>
      <c r="Q143" s="13"/>
      <c r="R143" s="9"/>
    </row>
    <row r="144" spans="1:18" ht="13.5">
      <c r="A144" s="12"/>
      <c r="B144" s="12"/>
      <c r="C144" s="13"/>
      <c r="D144" s="13" t="s">
        <v>134</v>
      </c>
      <c r="E144" s="14" t="s">
        <v>142</v>
      </c>
      <c r="F144" s="15">
        <f>$I$34</f>
        <v>1.6500000000000001</v>
      </c>
      <c r="G144" s="15"/>
      <c r="H144" s="15"/>
      <c r="I144" s="15"/>
      <c r="J144" s="16"/>
      <c r="K144" s="15"/>
      <c r="L144" s="15"/>
      <c r="M144" s="15"/>
      <c r="N144" s="15"/>
      <c r="O144" s="15"/>
      <c r="P144" s="16"/>
      <c r="Q144" s="13"/>
      <c r="R144" s="9"/>
    </row>
    <row r="145" spans="1:18" ht="13.5">
      <c r="A145" s="12"/>
      <c r="B145" s="12"/>
      <c r="C145" s="13"/>
      <c r="D145" s="13" t="s">
        <v>114</v>
      </c>
      <c r="E145" s="14" t="s">
        <v>123</v>
      </c>
      <c r="F145" s="15">
        <f>$I$49</f>
        <v>26.460000000000004</v>
      </c>
      <c r="G145" s="15"/>
      <c r="H145" s="15"/>
      <c r="I145" s="15"/>
      <c r="J145" s="16"/>
      <c r="K145" s="15"/>
      <c r="L145" s="15"/>
      <c r="M145" s="15"/>
      <c r="N145" s="15"/>
      <c r="O145" s="15"/>
      <c r="P145" s="16"/>
      <c r="Q145" s="13"/>
      <c r="R145" s="9"/>
    </row>
    <row r="146" spans="1:18" ht="13.5">
      <c r="A146" s="12"/>
      <c r="B146" s="12"/>
      <c r="C146" s="13"/>
      <c r="D146" s="13" t="s">
        <v>143</v>
      </c>
      <c r="E146" s="14" t="s">
        <v>144</v>
      </c>
      <c r="F146" s="15">
        <f>$F$144*$F$145</f>
        <v>43.65900000000001</v>
      </c>
      <c r="G146" s="15"/>
      <c r="H146" s="15"/>
      <c r="I146" s="15"/>
      <c r="J146" s="16"/>
      <c r="K146" s="15"/>
      <c r="L146" s="15"/>
      <c r="M146" s="15"/>
      <c r="N146" s="15"/>
      <c r="O146" s="15"/>
      <c r="P146" s="16"/>
      <c r="Q146" s="13"/>
      <c r="R146" s="9"/>
    </row>
    <row r="147" spans="1:18" ht="13.5">
      <c r="A147" s="12"/>
      <c r="B147" s="12"/>
      <c r="C147" s="13"/>
      <c r="D147" s="13"/>
      <c r="E147" s="56" t="s">
        <v>151</v>
      </c>
      <c r="F147" s="67">
        <f>$F$142+$F$146</f>
        <v>279.96525</v>
      </c>
      <c r="G147" s="15"/>
      <c r="H147" s="15" t="s">
        <v>145</v>
      </c>
      <c r="I147" s="15"/>
      <c r="J147" s="16"/>
      <c r="K147" s="15"/>
      <c r="L147" s="15"/>
      <c r="M147" s="15"/>
      <c r="N147" s="15"/>
      <c r="O147" s="15"/>
      <c r="P147" s="16"/>
      <c r="Q147" s="13"/>
      <c r="R147" s="9"/>
    </row>
    <row r="148" spans="1:18" ht="13.5">
      <c r="A148" s="12"/>
      <c r="B148" s="12"/>
      <c r="C148" s="13" t="s">
        <v>132</v>
      </c>
      <c r="D148" s="13"/>
      <c r="E148" s="14"/>
      <c r="F148" s="15"/>
      <c r="G148" s="15"/>
      <c r="H148" s="15"/>
      <c r="I148" s="15"/>
      <c r="J148" s="16"/>
      <c r="K148" s="15"/>
      <c r="L148" s="15"/>
      <c r="M148" s="15"/>
      <c r="N148" s="15"/>
      <c r="O148" s="15"/>
      <c r="P148" s="16"/>
      <c r="Q148" s="13"/>
      <c r="R148" s="9"/>
    </row>
    <row r="149" spans="1:18" ht="13.5">
      <c r="A149" s="12"/>
      <c r="B149" s="12"/>
      <c r="C149" s="13"/>
      <c r="D149" s="13" t="s">
        <v>134</v>
      </c>
      <c r="E149" s="14" t="s">
        <v>133</v>
      </c>
      <c r="F149" s="15">
        <f>$F$123</f>
        <v>0.9333333333333332</v>
      </c>
      <c r="G149" s="15"/>
      <c r="H149" s="15"/>
      <c r="I149" s="15"/>
      <c r="J149" s="16"/>
      <c r="K149" s="15"/>
      <c r="L149" s="15"/>
      <c r="M149" s="15"/>
      <c r="N149" s="15"/>
      <c r="O149" s="15"/>
      <c r="P149" s="16"/>
      <c r="Q149" s="13"/>
      <c r="R149" s="9"/>
    </row>
    <row r="150" spans="1:18" ht="13.5">
      <c r="A150" s="12"/>
      <c r="B150" s="12"/>
      <c r="C150" s="13"/>
      <c r="D150" s="13" t="s">
        <v>124</v>
      </c>
      <c r="E150" s="14" t="s">
        <v>135</v>
      </c>
      <c r="F150" s="15">
        <f>$F$98</f>
        <v>34.5744</v>
      </c>
      <c r="G150" s="15"/>
      <c r="H150" s="15"/>
      <c r="I150" s="15"/>
      <c r="J150" s="16"/>
      <c r="K150" s="15"/>
      <c r="L150" s="15"/>
      <c r="M150" s="15"/>
      <c r="N150" s="15"/>
      <c r="O150" s="15"/>
      <c r="P150" s="16"/>
      <c r="Q150" s="13"/>
      <c r="R150" s="9"/>
    </row>
    <row r="151" spans="1:18" ht="13.5">
      <c r="A151" s="12"/>
      <c r="B151" s="12"/>
      <c r="C151" s="13"/>
      <c r="D151" s="13" t="s">
        <v>127</v>
      </c>
      <c r="E151" s="14" t="s">
        <v>136</v>
      </c>
      <c r="F151" s="15">
        <f>$F$149*$F$150</f>
        <v>32.269439999999996</v>
      </c>
      <c r="G151" s="15"/>
      <c r="H151" s="15"/>
      <c r="I151" s="15"/>
      <c r="J151" s="16"/>
      <c r="K151" s="15"/>
      <c r="L151" s="15"/>
      <c r="M151" s="15"/>
      <c r="N151" s="15"/>
      <c r="O151" s="15"/>
      <c r="P151" s="16"/>
      <c r="Q151" s="13"/>
      <c r="R151" s="9"/>
    </row>
    <row r="152" spans="1:18" ht="13.5">
      <c r="A152" s="12"/>
      <c r="B152" s="12"/>
      <c r="C152" s="13" t="s">
        <v>137</v>
      </c>
      <c r="D152" s="13"/>
      <c r="E152" s="14"/>
      <c r="F152" s="15"/>
      <c r="G152" s="15"/>
      <c r="H152" s="15"/>
      <c r="I152" s="15"/>
      <c r="J152" s="16"/>
      <c r="K152" s="15"/>
      <c r="L152" s="15"/>
      <c r="M152" s="15"/>
      <c r="N152" s="15"/>
      <c r="O152" s="15"/>
      <c r="P152" s="16"/>
      <c r="Q152" s="13"/>
      <c r="R152" s="9"/>
    </row>
    <row r="153" spans="1:18" ht="13.5">
      <c r="A153" s="12"/>
      <c r="B153" s="12"/>
      <c r="C153" s="13"/>
      <c r="D153" s="13" t="s">
        <v>134</v>
      </c>
      <c r="E153" s="14" t="s">
        <v>138</v>
      </c>
      <c r="F153" s="15">
        <f>$F$126</f>
        <v>1.4</v>
      </c>
      <c r="G153" s="15"/>
      <c r="H153" s="15"/>
      <c r="I153" s="15"/>
      <c r="J153" s="16"/>
      <c r="K153" s="15"/>
      <c r="L153" s="15"/>
      <c r="M153" s="15"/>
      <c r="N153" s="15"/>
      <c r="O153" s="15"/>
      <c r="P153" s="16"/>
      <c r="Q153" s="13"/>
      <c r="R153" s="9"/>
    </row>
    <row r="154" spans="1:18" ht="13.5">
      <c r="A154" s="12"/>
      <c r="B154" s="12"/>
      <c r="C154" s="13"/>
      <c r="D154" s="13" t="s">
        <v>124</v>
      </c>
      <c r="E154" s="14" t="s">
        <v>139</v>
      </c>
      <c r="F154" s="15">
        <f>$F$113</f>
        <v>13.4456</v>
      </c>
      <c r="G154" s="15"/>
      <c r="H154" s="15"/>
      <c r="I154" s="15"/>
      <c r="J154" s="16"/>
      <c r="K154" s="15"/>
      <c r="L154" s="15"/>
      <c r="M154" s="15"/>
      <c r="N154" s="15"/>
      <c r="O154" s="15"/>
      <c r="P154" s="16"/>
      <c r="Q154" s="13"/>
      <c r="R154" s="9"/>
    </row>
    <row r="155" spans="1:18" ht="13.5">
      <c r="A155" s="12"/>
      <c r="B155" s="12"/>
      <c r="C155" s="13"/>
      <c r="D155" s="13" t="s">
        <v>127</v>
      </c>
      <c r="E155" s="14" t="s">
        <v>140</v>
      </c>
      <c r="F155" s="15">
        <f>$F$153*$F$154</f>
        <v>18.82384</v>
      </c>
      <c r="G155" s="15"/>
      <c r="H155" s="15"/>
      <c r="I155" s="15"/>
      <c r="J155" s="16"/>
      <c r="K155" s="15"/>
      <c r="L155" s="15"/>
      <c r="M155" s="15"/>
      <c r="N155" s="15"/>
      <c r="O155" s="15"/>
      <c r="P155" s="16"/>
      <c r="Q155" s="13"/>
      <c r="R155" s="9"/>
    </row>
    <row r="156" spans="1:18" ht="13.5">
      <c r="A156" s="12"/>
      <c r="B156" s="12"/>
      <c r="C156" s="13"/>
      <c r="D156" s="13"/>
      <c r="E156" s="56" t="s">
        <v>150</v>
      </c>
      <c r="F156" s="67">
        <f>$F$151+$F$155</f>
        <v>51.09327999999999</v>
      </c>
      <c r="G156" s="15"/>
      <c r="H156" s="15" t="s">
        <v>146</v>
      </c>
      <c r="I156" s="15"/>
      <c r="J156" s="16"/>
      <c r="K156" s="15"/>
      <c r="L156" s="15"/>
      <c r="M156" s="15"/>
      <c r="N156" s="15"/>
      <c r="O156" s="15"/>
      <c r="P156" s="16"/>
      <c r="Q156" s="13"/>
      <c r="R156" s="9"/>
    </row>
    <row r="157" spans="1:18" ht="3" customHeight="1">
      <c r="A157" s="12"/>
      <c r="B157" s="12"/>
      <c r="C157" s="13"/>
      <c r="D157" s="13"/>
      <c r="E157" s="14"/>
      <c r="F157" s="15"/>
      <c r="G157" s="15"/>
      <c r="H157" s="15"/>
      <c r="I157" s="15"/>
      <c r="J157" s="16"/>
      <c r="K157" s="15"/>
      <c r="L157" s="15"/>
      <c r="M157" s="15"/>
      <c r="N157" s="15"/>
      <c r="O157" s="15"/>
      <c r="P157" s="16"/>
      <c r="Q157" s="13"/>
      <c r="R157" s="9"/>
    </row>
    <row r="158" spans="1:18" ht="13.5">
      <c r="A158" s="49" t="s">
        <v>147</v>
      </c>
      <c r="B158" s="12"/>
      <c r="C158" s="13"/>
      <c r="D158" s="13"/>
      <c r="E158" s="14"/>
      <c r="F158" s="15"/>
      <c r="G158" s="15"/>
      <c r="H158" s="15"/>
      <c r="I158" s="15"/>
      <c r="J158" s="16"/>
      <c r="K158" s="15"/>
      <c r="L158" s="15"/>
      <c r="M158" s="15"/>
      <c r="N158" s="116"/>
      <c r="O158" s="15"/>
      <c r="P158" s="16"/>
      <c r="Q158" s="13"/>
      <c r="R158" s="9"/>
    </row>
    <row r="159" spans="1:18" ht="13.5">
      <c r="A159" s="12"/>
      <c r="B159" s="49" t="s">
        <v>148</v>
      </c>
      <c r="C159" s="13"/>
      <c r="D159" s="13"/>
      <c r="E159" s="14"/>
      <c r="F159" s="15"/>
      <c r="G159" s="15"/>
      <c r="H159" s="15"/>
      <c r="I159" s="15"/>
      <c r="J159" s="16"/>
      <c r="K159" s="15"/>
      <c r="L159" s="15"/>
      <c r="M159" s="15"/>
      <c r="N159" s="15"/>
      <c r="O159" s="15"/>
      <c r="P159" s="16"/>
      <c r="Q159" s="13"/>
      <c r="R159" s="9"/>
    </row>
    <row r="160" spans="1:18" ht="13.5">
      <c r="A160" s="12"/>
      <c r="B160" s="12"/>
      <c r="C160" s="13" t="s">
        <v>153</v>
      </c>
      <c r="D160" s="13"/>
      <c r="E160" s="14" t="s">
        <v>152</v>
      </c>
      <c r="F160" s="15">
        <f>$F$147</f>
        <v>279.96525</v>
      </c>
      <c r="G160" s="15"/>
      <c r="H160" s="15" t="s">
        <v>145</v>
      </c>
      <c r="I160" s="15"/>
      <c r="J160" s="16"/>
      <c r="K160" s="15"/>
      <c r="L160" s="15"/>
      <c r="M160" s="15"/>
      <c r="N160" s="15"/>
      <c r="O160" s="15"/>
      <c r="P160" s="16"/>
      <c r="Q160" s="13"/>
      <c r="R160" s="9"/>
    </row>
    <row r="161" spans="1:18" ht="13.5">
      <c r="A161" s="130"/>
      <c r="B161" s="130"/>
      <c r="C161" s="131" t="s">
        <v>149</v>
      </c>
      <c r="D161" s="131"/>
      <c r="E161" s="132" t="s">
        <v>154</v>
      </c>
      <c r="F161" s="80">
        <f>$F$156</f>
        <v>51.09327999999999</v>
      </c>
      <c r="G161" s="80"/>
      <c r="H161" s="80" t="s">
        <v>145</v>
      </c>
      <c r="I161" s="80"/>
      <c r="J161" s="93"/>
      <c r="K161" s="80"/>
      <c r="L161" s="80"/>
      <c r="M161" s="80"/>
      <c r="N161" s="80"/>
      <c r="O161" s="80"/>
      <c r="P161" s="93"/>
      <c r="Q161" s="131"/>
      <c r="R161" s="9"/>
    </row>
    <row r="162" spans="1:18" ht="13.5">
      <c r="A162" s="130"/>
      <c r="B162" s="130"/>
      <c r="C162" s="133" t="s">
        <v>155</v>
      </c>
      <c r="D162" s="131"/>
      <c r="E162" s="134" t="s">
        <v>386</v>
      </c>
      <c r="F162" s="135">
        <f>$F$160/$F$161</f>
        <v>5.4794926064641</v>
      </c>
      <c r="G162" s="135" t="s">
        <v>156</v>
      </c>
      <c r="H162" s="136">
        <v>1.5</v>
      </c>
      <c r="I162" s="137" t="str">
        <f>IF($F$162&gt;$H$162,"OK","NG")</f>
        <v>OK</v>
      </c>
      <c r="J162" s="93"/>
      <c r="K162" s="80"/>
      <c r="L162" s="80"/>
      <c r="M162" s="80"/>
      <c r="N162" s="80"/>
      <c r="O162" s="80"/>
      <c r="P162" s="93"/>
      <c r="Q162" s="131"/>
      <c r="R162" s="9"/>
    </row>
    <row r="163" spans="1:18" ht="5.25" customHeight="1">
      <c r="A163" s="130"/>
      <c r="B163" s="130"/>
      <c r="C163" s="131"/>
      <c r="D163" s="131"/>
      <c r="E163" s="132"/>
      <c r="F163" s="80"/>
      <c r="G163" s="80"/>
      <c r="H163" s="80"/>
      <c r="I163" s="80"/>
      <c r="J163" s="93"/>
      <c r="K163" s="80"/>
      <c r="L163" s="80"/>
      <c r="M163" s="80"/>
      <c r="N163" s="80"/>
      <c r="O163" s="80"/>
      <c r="P163" s="93"/>
      <c r="Q163" s="131"/>
      <c r="R163" s="9"/>
    </row>
    <row r="164" spans="1:18" ht="13.5">
      <c r="A164" s="130"/>
      <c r="B164" s="138" t="s">
        <v>157</v>
      </c>
      <c r="C164" s="131"/>
      <c r="D164" s="131"/>
      <c r="E164" s="132"/>
      <c r="F164" s="80"/>
      <c r="G164" s="80"/>
      <c r="H164" s="80"/>
      <c r="I164" s="80"/>
      <c r="J164" s="93"/>
      <c r="K164" s="80"/>
      <c r="L164" s="80"/>
      <c r="M164" s="80"/>
      <c r="N164" s="80"/>
      <c r="O164" s="80"/>
      <c r="P164" s="93"/>
      <c r="Q164" s="131"/>
      <c r="R164" s="9"/>
    </row>
    <row r="165" spans="1:18" ht="13.5">
      <c r="A165" s="130"/>
      <c r="B165" s="130"/>
      <c r="C165" s="131" t="s">
        <v>158</v>
      </c>
      <c r="D165" s="131"/>
      <c r="E165" s="132" t="s">
        <v>164</v>
      </c>
      <c r="F165" s="80">
        <f>$F$140</f>
        <v>48.019999999999996</v>
      </c>
      <c r="G165" s="80"/>
      <c r="H165" s="80" t="s">
        <v>81</v>
      </c>
      <c r="I165" s="80"/>
      <c r="J165" s="93"/>
      <c r="K165" s="80"/>
      <c r="L165" s="80"/>
      <c r="M165" s="80"/>
      <c r="N165" s="80"/>
      <c r="O165" s="80"/>
      <c r="P165" s="93"/>
      <c r="Q165" s="131"/>
      <c r="R165" s="9"/>
    </row>
    <row r="166" spans="1:18" ht="13.5">
      <c r="A166" s="130"/>
      <c r="B166" s="130"/>
      <c r="C166" s="131" t="s">
        <v>161</v>
      </c>
      <c r="D166" s="131"/>
      <c r="E166" s="132" t="s">
        <v>177</v>
      </c>
      <c r="F166" s="80">
        <f>$F$134</f>
        <v>188.38500000000002</v>
      </c>
      <c r="G166" s="139" t="s">
        <v>162</v>
      </c>
      <c r="H166" s="80">
        <f>$F$68</f>
        <v>0.363</v>
      </c>
      <c r="I166" s="139" t="s">
        <v>178</v>
      </c>
      <c r="J166" s="93">
        <f>$F$66*($F$13-2*$J$171)</f>
        <v>24.298322053242032</v>
      </c>
      <c r="K166" s="139" t="s">
        <v>173</v>
      </c>
      <c r="L166" s="140">
        <f>$F$166*$H$166+$J$166</f>
        <v>92.68207705324204</v>
      </c>
      <c r="M166" s="140"/>
      <c r="N166" s="80"/>
      <c r="O166" s="80"/>
      <c r="P166" s="93"/>
      <c r="Q166" s="131"/>
      <c r="R166" s="9"/>
    </row>
    <row r="167" spans="1:18" s="8" customFormat="1" ht="22.5" customHeight="1">
      <c r="A167" s="141"/>
      <c r="B167" s="141"/>
      <c r="C167" s="142" t="s">
        <v>163</v>
      </c>
      <c r="D167" s="143"/>
      <c r="E167" s="134" t="s">
        <v>387</v>
      </c>
      <c r="F167" s="144">
        <f>$L$166/$F$165</f>
        <v>1.9300724084390264</v>
      </c>
      <c r="G167" s="145" t="s">
        <v>165</v>
      </c>
      <c r="H167" s="146">
        <v>1.5</v>
      </c>
      <c r="I167" s="147" t="str">
        <f>IF($F$167&gt;$H$167,"OK","NG")</f>
        <v>OK</v>
      </c>
      <c r="J167" s="93"/>
      <c r="K167" s="140"/>
      <c r="L167" s="140"/>
      <c r="M167" s="140"/>
      <c r="N167" s="140"/>
      <c r="O167" s="140"/>
      <c r="P167" s="93"/>
      <c r="Q167" s="143"/>
      <c r="R167" s="10"/>
    </row>
    <row r="168" spans="1:18" ht="18" customHeight="1">
      <c r="A168" s="130"/>
      <c r="B168" s="130"/>
      <c r="C168" s="131"/>
      <c r="D168" s="131"/>
      <c r="E168" s="132"/>
      <c r="F168" s="80"/>
      <c r="G168" s="80"/>
      <c r="H168" s="80"/>
      <c r="I168" s="80"/>
      <c r="J168" s="93"/>
      <c r="K168" s="80"/>
      <c r="L168" s="80"/>
      <c r="M168" s="80"/>
      <c r="N168" s="80"/>
      <c r="O168" s="80"/>
      <c r="P168" s="93"/>
      <c r="Q168" s="131"/>
      <c r="R168" s="9"/>
    </row>
    <row r="169" spans="1:18" ht="13.5">
      <c r="A169" s="130"/>
      <c r="B169" s="138" t="s">
        <v>166</v>
      </c>
      <c r="C169" s="131"/>
      <c r="D169" s="131"/>
      <c r="E169" s="132"/>
      <c r="F169" s="80"/>
      <c r="G169" s="80"/>
      <c r="H169" s="80"/>
      <c r="I169" s="80"/>
      <c r="J169" s="93"/>
      <c r="K169" s="80"/>
      <c r="L169" s="80"/>
      <c r="M169" s="80"/>
      <c r="N169" s="80"/>
      <c r="O169" s="80"/>
      <c r="P169" s="93"/>
      <c r="Q169" s="131"/>
      <c r="R169" s="9"/>
    </row>
    <row r="170" spans="1:18" ht="13.5">
      <c r="A170" s="130"/>
      <c r="B170" s="130"/>
      <c r="C170" s="131" t="s">
        <v>167</v>
      </c>
      <c r="D170" s="131"/>
      <c r="E170" s="132" t="s">
        <v>168</v>
      </c>
      <c r="F170" s="80">
        <f>$F$160-$F$161</f>
        <v>228.87197000000003</v>
      </c>
      <c r="G170" s="139" t="s">
        <v>169</v>
      </c>
      <c r="H170" s="80">
        <f>$F$134</f>
        <v>188.38500000000002</v>
      </c>
      <c r="I170" s="139" t="s">
        <v>174</v>
      </c>
      <c r="J170" s="93">
        <f>$F$170/$H$170</f>
        <v>1.2149161026621016</v>
      </c>
      <c r="K170" s="80"/>
      <c r="L170" s="80"/>
      <c r="M170" s="80"/>
      <c r="N170" s="80"/>
      <c r="O170" s="80"/>
      <c r="P170" s="93"/>
      <c r="Q170" s="131"/>
      <c r="R170" s="9"/>
    </row>
    <row r="171" spans="1:18" ht="13.5">
      <c r="A171" s="130"/>
      <c r="B171" s="130"/>
      <c r="C171" s="131" t="s">
        <v>170</v>
      </c>
      <c r="D171" s="131"/>
      <c r="E171" s="134" t="s">
        <v>171</v>
      </c>
      <c r="F171" s="80">
        <f>$F$13/2</f>
        <v>1.5</v>
      </c>
      <c r="G171" s="139" t="s">
        <v>274</v>
      </c>
      <c r="H171" s="80">
        <f>$J$170</f>
        <v>1.2149161026621016</v>
      </c>
      <c r="I171" s="139" t="s">
        <v>174</v>
      </c>
      <c r="J171" s="148">
        <f>$F$171-$H$171</f>
        <v>0.2850838973378984</v>
      </c>
      <c r="K171" s="80"/>
      <c r="L171" s="80"/>
      <c r="M171" s="80"/>
      <c r="N171" s="80"/>
      <c r="O171" s="80"/>
      <c r="P171" s="93"/>
      <c r="Q171" s="131"/>
      <c r="R171" s="9"/>
    </row>
    <row r="172" spans="1:18" ht="13.5">
      <c r="A172" s="130"/>
      <c r="B172" s="130"/>
      <c r="C172" s="131" t="s">
        <v>172</v>
      </c>
      <c r="D172" s="133"/>
      <c r="E172" s="134" t="s">
        <v>311</v>
      </c>
      <c r="F172" s="80">
        <f>$F$134/$F$13</f>
        <v>62.79500000000001</v>
      </c>
      <c r="G172" s="139" t="s">
        <v>162</v>
      </c>
      <c r="H172" s="80">
        <f>1+(6*$J$171/$F$13)</f>
        <v>1.5701677946757968</v>
      </c>
      <c r="I172" s="139" t="s">
        <v>173</v>
      </c>
      <c r="J172" s="148">
        <f>$F$172*$H$172</f>
        <v>98.59868666666668</v>
      </c>
      <c r="K172" s="80"/>
      <c r="L172" s="80"/>
      <c r="M172" s="80"/>
      <c r="N172" s="80"/>
      <c r="O172" s="80"/>
      <c r="P172" s="93"/>
      <c r="Q172" s="131"/>
      <c r="R172" s="9"/>
    </row>
    <row r="173" spans="1:18" ht="18.75" customHeight="1">
      <c r="A173" s="130"/>
      <c r="B173" s="130"/>
      <c r="C173" s="133" t="s">
        <v>175</v>
      </c>
      <c r="D173" s="131"/>
      <c r="E173" s="134" t="s">
        <v>176</v>
      </c>
      <c r="F173" s="135">
        <f>$F$67/$J$172</f>
        <v>1.014212292077183</v>
      </c>
      <c r="G173" s="145" t="s">
        <v>165</v>
      </c>
      <c r="H173" s="149">
        <v>1</v>
      </c>
      <c r="I173" s="147" t="str">
        <f>IF($F$173&gt;$H$173,"OK","NG")</f>
        <v>OK</v>
      </c>
      <c r="J173" s="93"/>
      <c r="K173" s="80"/>
      <c r="L173" s="80"/>
      <c r="M173" s="80"/>
      <c r="N173" s="80"/>
      <c r="O173" s="80"/>
      <c r="P173" s="93"/>
      <c r="Q173" s="131"/>
      <c r="R173" s="9"/>
    </row>
    <row r="174" spans="1:18" ht="13.5">
      <c r="A174" s="130"/>
      <c r="B174" s="130"/>
      <c r="C174" s="131"/>
      <c r="D174" s="131"/>
      <c r="E174" s="132"/>
      <c r="F174" s="80"/>
      <c r="G174" s="80"/>
      <c r="H174" s="80"/>
      <c r="I174" s="80"/>
      <c r="J174" s="93"/>
      <c r="K174" s="80"/>
      <c r="L174" s="80"/>
      <c r="M174" s="80"/>
      <c r="N174" s="80"/>
      <c r="O174" s="80"/>
      <c r="P174" s="93"/>
      <c r="Q174" s="131"/>
      <c r="R174" s="9"/>
    </row>
    <row r="175" spans="1:18" ht="14.25" thickBot="1">
      <c r="A175" s="150" t="s">
        <v>210</v>
      </c>
      <c r="B175" s="150"/>
      <c r="C175" s="151"/>
      <c r="D175" s="131"/>
      <c r="E175" s="132"/>
      <c r="F175" s="80"/>
      <c r="G175" s="80"/>
      <c r="H175" s="80"/>
      <c r="I175" s="80"/>
      <c r="J175" s="93"/>
      <c r="K175" s="80"/>
      <c r="L175" s="80"/>
      <c r="M175" s="80"/>
      <c r="N175" s="80"/>
      <c r="O175" s="80"/>
      <c r="P175" s="93"/>
      <c r="Q175" s="131"/>
      <c r="R175" s="9"/>
    </row>
    <row r="176" spans="1:18" ht="14.25" thickBot="1">
      <c r="A176" s="150"/>
      <c r="B176" s="150" t="s">
        <v>233</v>
      </c>
      <c r="C176" s="151"/>
      <c r="D176" s="131"/>
      <c r="E176" s="134" t="s">
        <v>234</v>
      </c>
      <c r="F176" s="57">
        <v>6</v>
      </c>
      <c r="G176" s="80" t="s">
        <v>209</v>
      </c>
      <c r="H176" s="80"/>
      <c r="I176" s="80"/>
      <c r="J176" s="93"/>
      <c r="K176" s="80"/>
      <c r="L176" s="80"/>
      <c r="M176" s="80"/>
      <c r="N176" s="80"/>
      <c r="O176" s="80"/>
      <c r="P176" s="93"/>
      <c r="Q176" s="131"/>
      <c r="R176" s="9"/>
    </row>
    <row r="177" spans="1:18" ht="14.25" thickBot="1">
      <c r="A177" s="150"/>
      <c r="B177" s="150" t="s">
        <v>211</v>
      </c>
      <c r="C177" s="151"/>
      <c r="D177" s="131"/>
      <c r="E177" s="132"/>
      <c r="F177" s="80"/>
      <c r="G177" s="80"/>
      <c r="H177" s="80"/>
      <c r="I177" s="80"/>
      <c r="J177" s="93"/>
      <c r="K177" s="80"/>
      <c r="L177" s="80"/>
      <c r="M177" s="80"/>
      <c r="N177" s="80"/>
      <c r="O177" s="80"/>
      <c r="P177" s="93"/>
      <c r="Q177" s="131"/>
      <c r="R177" s="9"/>
    </row>
    <row r="178" spans="1:18" ht="14.25" thickBot="1">
      <c r="A178" s="150"/>
      <c r="B178" s="150"/>
      <c r="C178" s="151" t="s">
        <v>212</v>
      </c>
      <c r="D178" s="131"/>
      <c r="E178" s="134" t="s">
        <v>373</v>
      </c>
      <c r="F178" s="57">
        <v>24</v>
      </c>
      <c r="G178" s="80" t="s">
        <v>216</v>
      </c>
      <c r="H178" s="80"/>
      <c r="I178" s="80"/>
      <c r="J178" s="93"/>
      <c r="K178" s="80"/>
      <c r="L178" s="80"/>
      <c r="M178" s="80"/>
      <c r="N178" s="80"/>
      <c r="O178" s="80"/>
      <c r="P178" s="93"/>
      <c r="Q178" s="131"/>
      <c r="R178" s="9"/>
    </row>
    <row r="179" spans="1:18" ht="13.5">
      <c r="A179" s="150"/>
      <c r="B179" s="150"/>
      <c r="C179" s="151" t="s">
        <v>214</v>
      </c>
      <c r="D179" s="131"/>
      <c r="E179" s="134" t="s">
        <v>215</v>
      </c>
      <c r="F179" s="152">
        <f>1/3*$F$178</f>
        <v>8</v>
      </c>
      <c r="G179" s="80" t="s">
        <v>216</v>
      </c>
      <c r="H179" s="80"/>
      <c r="I179" s="80"/>
      <c r="J179" s="93"/>
      <c r="K179" s="80"/>
      <c r="L179" s="80"/>
      <c r="M179" s="80"/>
      <c r="N179" s="80"/>
      <c r="O179" s="80"/>
      <c r="P179" s="93"/>
      <c r="Q179" s="131"/>
      <c r="R179" s="9"/>
    </row>
    <row r="180" spans="1:18" ht="13.5">
      <c r="A180" s="150"/>
      <c r="B180" s="150"/>
      <c r="C180" s="151" t="s">
        <v>217</v>
      </c>
      <c r="D180" s="131"/>
      <c r="E180" s="134" t="s">
        <v>219</v>
      </c>
      <c r="F180" s="153">
        <f>0.49+1/100*$F$178</f>
        <v>0.73</v>
      </c>
      <c r="G180" s="80" t="s">
        <v>213</v>
      </c>
      <c r="H180" s="80"/>
      <c r="I180" s="80"/>
      <c r="J180" s="93"/>
      <c r="K180" s="80"/>
      <c r="L180" s="80"/>
      <c r="M180" s="80"/>
      <c r="N180" s="80"/>
      <c r="O180" s="80"/>
      <c r="P180" s="93"/>
      <c r="Q180" s="131"/>
      <c r="R180" s="9"/>
    </row>
    <row r="181" spans="1:18" ht="13.5">
      <c r="A181" s="150"/>
      <c r="B181" s="150"/>
      <c r="C181" s="151" t="s">
        <v>218</v>
      </c>
      <c r="D181" s="131"/>
      <c r="E181" s="134" t="s">
        <v>220</v>
      </c>
      <c r="F181" s="153">
        <f>0.9+2/75*$F$178</f>
        <v>1.54</v>
      </c>
      <c r="G181" s="80" t="s">
        <v>250</v>
      </c>
      <c r="H181" s="149">
        <f>$F$181*100</f>
        <v>154</v>
      </c>
      <c r="I181" s="80" t="s">
        <v>251</v>
      </c>
      <c r="J181" s="93"/>
      <c r="K181" s="80"/>
      <c r="L181" s="80"/>
      <c r="M181" s="80"/>
      <c r="N181" s="80"/>
      <c r="O181" s="80"/>
      <c r="P181" s="93"/>
      <c r="Q181" s="131"/>
      <c r="R181" s="9"/>
    </row>
    <row r="182" spans="1:18" ht="14.25" thickBot="1">
      <c r="A182" s="150"/>
      <c r="B182" s="150" t="s">
        <v>221</v>
      </c>
      <c r="C182" s="151"/>
      <c r="D182" s="131"/>
      <c r="E182" s="134"/>
      <c r="F182" s="135"/>
      <c r="G182" s="80"/>
      <c r="H182" s="80"/>
      <c r="I182" s="80"/>
      <c r="J182" s="93"/>
      <c r="K182" s="80"/>
      <c r="L182" s="80"/>
      <c r="M182" s="80"/>
      <c r="N182" s="80"/>
      <c r="O182" s="80"/>
      <c r="P182" s="93"/>
      <c r="Q182" s="131"/>
      <c r="R182" s="9"/>
    </row>
    <row r="183" spans="1:18" ht="14.25" thickBot="1">
      <c r="A183" s="150"/>
      <c r="B183" s="150"/>
      <c r="C183" s="151" t="s">
        <v>222</v>
      </c>
      <c r="D183" s="131"/>
      <c r="E183" s="134" t="s">
        <v>374</v>
      </c>
      <c r="F183" s="57">
        <v>195</v>
      </c>
      <c r="G183" s="80" t="s">
        <v>216</v>
      </c>
      <c r="H183" s="154">
        <f>$F$183*100</f>
        <v>19500</v>
      </c>
      <c r="I183" s="80" t="s">
        <v>245</v>
      </c>
      <c r="J183" s="93"/>
      <c r="K183" s="80"/>
      <c r="L183" s="80"/>
      <c r="M183" s="80"/>
      <c r="N183" s="80"/>
      <c r="O183" s="80"/>
      <c r="P183" s="93"/>
      <c r="Q183" s="131"/>
      <c r="R183" s="9"/>
    </row>
    <row r="184" spans="1:18" ht="13.5">
      <c r="A184" s="150"/>
      <c r="B184" s="150"/>
      <c r="C184" s="151" t="s">
        <v>223</v>
      </c>
      <c r="D184" s="131" t="s">
        <v>371</v>
      </c>
      <c r="E184" s="134"/>
      <c r="F184" s="148"/>
      <c r="G184" s="155" t="s">
        <v>225</v>
      </c>
      <c r="H184" s="156" t="s">
        <v>240</v>
      </c>
      <c r="I184" s="156" t="s">
        <v>230</v>
      </c>
      <c r="J184" s="157" t="s">
        <v>231</v>
      </c>
      <c r="K184" s="80"/>
      <c r="L184" s="80"/>
      <c r="M184" s="80"/>
      <c r="N184" s="80"/>
      <c r="O184" s="80"/>
      <c r="P184" s="93"/>
      <c r="Q184" s="131"/>
      <c r="R184" s="9"/>
    </row>
    <row r="185" spans="1:18" ht="13.5">
      <c r="A185" s="150"/>
      <c r="B185" s="150"/>
      <c r="C185" s="151"/>
      <c r="D185" s="131" t="s">
        <v>372</v>
      </c>
      <c r="E185" s="158"/>
      <c r="F185" s="154"/>
      <c r="G185" s="159" t="s">
        <v>226</v>
      </c>
      <c r="H185" s="160">
        <v>1</v>
      </c>
      <c r="I185" s="161">
        <v>0.7133</v>
      </c>
      <c r="J185" s="162">
        <v>3</v>
      </c>
      <c r="K185" s="80"/>
      <c r="L185" s="80"/>
      <c r="M185" s="80"/>
      <c r="N185" s="80"/>
      <c r="O185" s="80"/>
      <c r="P185" s="93"/>
      <c r="Q185" s="131"/>
      <c r="R185" s="9"/>
    </row>
    <row r="186" spans="1:18" ht="13.5">
      <c r="A186" s="130"/>
      <c r="B186" s="130"/>
      <c r="C186" s="158"/>
      <c r="D186" s="131"/>
      <c r="E186" s="158"/>
      <c r="F186" s="154"/>
      <c r="G186" s="163" t="s">
        <v>224</v>
      </c>
      <c r="H186" s="164">
        <v>1.3</v>
      </c>
      <c r="I186" s="165">
        <v>1.267</v>
      </c>
      <c r="J186" s="166">
        <v>4</v>
      </c>
      <c r="K186" s="80"/>
      <c r="L186" s="80"/>
      <c r="M186" s="80"/>
      <c r="N186" s="80"/>
      <c r="O186" s="80"/>
      <c r="P186" s="93"/>
      <c r="Q186" s="131"/>
      <c r="R186" s="9"/>
    </row>
    <row r="187" spans="1:18" ht="13.5">
      <c r="A187" s="130"/>
      <c r="B187" s="130"/>
      <c r="C187" s="131"/>
      <c r="D187" s="131"/>
      <c r="E187" s="132"/>
      <c r="F187" s="154"/>
      <c r="G187" s="163" t="s">
        <v>227</v>
      </c>
      <c r="H187" s="167">
        <v>1.6</v>
      </c>
      <c r="I187" s="165">
        <v>1.986</v>
      </c>
      <c r="J187" s="166">
        <v>5</v>
      </c>
      <c r="K187" s="80"/>
      <c r="L187" s="80"/>
      <c r="M187" s="80"/>
      <c r="N187" s="80"/>
      <c r="O187" s="80"/>
      <c r="P187" s="93"/>
      <c r="Q187" s="131"/>
      <c r="R187" s="11"/>
    </row>
    <row r="188" spans="1:18" ht="13.5">
      <c r="A188" s="130"/>
      <c r="B188" s="130"/>
      <c r="C188" s="131"/>
      <c r="D188" s="131"/>
      <c r="E188" s="132"/>
      <c r="F188" s="154"/>
      <c r="G188" s="163" t="s">
        <v>228</v>
      </c>
      <c r="H188" s="167">
        <v>1.9</v>
      </c>
      <c r="I188" s="165">
        <v>2.865</v>
      </c>
      <c r="J188" s="166">
        <v>6</v>
      </c>
      <c r="K188" s="80"/>
      <c r="L188" s="80"/>
      <c r="M188" s="80"/>
      <c r="N188" s="80"/>
      <c r="O188" s="80"/>
      <c r="P188" s="93"/>
      <c r="Q188" s="131"/>
      <c r="R188" s="11"/>
    </row>
    <row r="189" spans="1:18" ht="14.25" thickBot="1">
      <c r="A189" s="130"/>
      <c r="B189" s="130"/>
      <c r="C189" s="131"/>
      <c r="D189" s="131"/>
      <c r="E189" s="132"/>
      <c r="F189" s="154"/>
      <c r="G189" s="168" t="s">
        <v>229</v>
      </c>
      <c r="H189" s="169">
        <v>2.2</v>
      </c>
      <c r="I189" s="170">
        <v>3.871</v>
      </c>
      <c r="J189" s="171">
        <v>7</v>
      </c>
      <c r="K189" s="80"/>
      <c r="L189" s="80"/>
      <c r="M189" s="80"/>
      <c r="N189" s="80"/>
      <c r="O189" s="80"/>
      <c r="P189" s="93"/>
      <c r="Q189" s="131"/>
      <c r="R189" s="9"/>
    </row>
    <row r="190" spans="1:18" ht="3" customHeight="1">
      <c r="A190" s="130"/>
      <c r="B190" s="130"/>
      <c r="C190" s="131"/>
      <c r="D190" s="131"/>
      <c r="E190" s="132"/>
      <c r="F190" s="154"/>
      <c r="G190" s="145"/>
      <c r="H190" s="172"/>
      <c r="I190" s="145"/>
      <c r="J190" s="173"/>
      <c r="K190" s="80"/>
      <c r="L190" s="80"/>
      <c r="M190" s="80"/>
      <c r="N190" s="80"/>
      <c r="O190" s="80"/>
      <c r="P190" s="93"/>
      <c r="Q190" s="131"/>
      <c r="R190" s="9"/>
    </row>
    <row r="191" spans="1:18" ht="6" customHeight="1">
      <c r="A191" s="130"/>
      <c r="B191" s="130"/>
      <c r="C191" s="131"/>
      <c r="D191" s="131"/>
      <c r="E191" s="132"/>
      <c r="F191" s="154"/>
      <c r="G191" s="145"/>
      <c r="H191" s="172"/>
      <c r="I191" s="145"/>
      <c r="J191" s="173"/>
      <c r="K191" s="80"/>
      <c r="L191" s="80"/>
      <c r="M191" s="80"/>
      <c r="N191" s="80"/>
      <c r="O191" s="80"/>
      <c r="P191" s="93"/>
      <c r="Q191" s="131"/>
      <c r="R191" s="9"/>
    </row>
    <row r="192" spans="1:18" ht="13.5" hidden="1">
      <c r="A192" s="130"/>
      <c r="B192" s="130"/>
      <c r="C192" s="131"/>
      <c r="D192" s="131"/>
      <c r="E192" s="132"/>
      <c r="F192" s="154"/>
      <c r="G192" s="145"/>
      <c r="H192" s="172"/>
      <c r="I192" s="145"/>
      <c r="J192" s="173"/>
      <c r="K192" s="80"/>
      <c r="L192" s="80"/>
      <c r="M192" s="80"/>
      <c r="N192" s="80"/>
      <c r="O192" s="80"/>
      <c r="P192" s="93"/>
      <c r="Q192" s="131"/>
      <c r="R192" s="9"/>
    </row>
    <row r="193" spans="1:18" ht="6" customHeight="1" hidden="1">
      <c r="A193" s="130"/>
      <c r="B193" s="130"/>
      <c r="C193" s="131"/>
      <c r="D193" s="131"/>
      <c r="E193" s="132"/>
      <c r="F193" s="80"/>
      <c r="G193" s="80"/>
      <c r="H193" s="80"/>
      <c r="I193" s="80"/>
      <c r="J193" s="93"/>
      <c r="K193" s="80"/>
      <c r="L193" s="80"/>
      <c r="M193" s="80"/>
      <c r="N193" s="80"/>
      <c r="O193" s="80"/>
      <c r="P193" s="93"/>
      <c r="Q193" s="131"/>
      <c r="R193" s="9"/>
    </row>
    <row r="194" spans="1:18" ht="19.5" customHeight="1">
      <c r="A194" s="138" t="s">
        <v>298</v>
      </c>
      <c r="B194" s="130"/>
      <c r="C194" s="131"/>
      <c r="D194" s="131"/>
      <c r="E194" s="132"/>
      <c r="F194" s="80"/>
      <c r="G194" s="80"/>
      <c r="H194" s="80"/>
      <c r="I194" s="80"/>
      <c r="J194" s="93"/>
      <c r="K194" s="80"/>
      <c r="L194" s="80"/>
      <c r="M194" s="80"/>
      <c r="N194" s="80"/>
      <c r="O194" s="80"/>
      <c r="P194" s="93"/>
      <c r="Q194" s="131"/>
      <c r="R194" s="9"/>
    </row>
    <row r="195" spans="1:18" ht="13.5">
      <c r="A195" s="130"/>
      <c r="B195" s="138" t="s">
        <v>299</v>
      </c>
      <c r="C195" s="131"/>
      <c r="D195" s="131"/>
      <c r="E195" s="132"/>
      <c r="F195" s="80"/>
      <c r="G195" s="80"/>
      <c r="H195" s="80"/>
      <c r="I195" s="80"/>
      <c r="J195" s="93"/>
      <c r="K195" s="80"/>
      <c r="L195" s="80"/>
      <c r="M195" s="80"/>
      <c r="N195" s="80"/>
      <c r="O195" s="80"/>
      <c r="P195" s="93"/>
      <c r="Q195" s="131"/>
      <c r="R195" s="9"/>
    </row>
    <row r="196" spans="1:18" ht="13.5">
      <c r="A196" s="130"/>
      <c r="B196" s="130"/>
      <c r="C196" s="174" t="s">
        <v>180</v>
      </c>
      <c r="D196" s="175" t="s">
        <v>179</v>
      </c>
      <c r="E196" s="175"/>
      <c r="F196" s="175"/>
      <c r="G196" s="175"/>
      <c r="H196" s="175"/>
      <c r="I196" s="175"/>
      <c r="J196" s="93"/>
      <c r="K196" s="80"/>
      <c r="L196" s="80"/>
      <c r="M196" s="80"/>
      <c r="N196" s="80"/>
      <c r="O196" s="80"/>
      <c r="P196" s="93"/>
      <c r="Q196" s="131"/>
      <c r="R196" s="9"/>
    </row>
    <row r="197" spans="1:18" ht="13.5">
      <c r="A197" s="130"/>
      <c r="B197" s="130"/>
      <c r="C197" s="174"/>
      <c r="D197" s="176" t="s">
        <v>184</v>
      </c>
      <c r="E197" s="176"/>
      <c r="F197" s="177" t="s">
        <v>181</v>
      </c>
      <c r="G197" s="177"/>
      <c r="H197" s="177"/>
      <c r="I197" s="178" t="s">
        <v>183</v>
      </c>
      <c r="J197" s="93"/>
      <c r="K197" s="80"/>
      <c r="L197" s="80"/>
      <c r="M197" s="80"/>
      <c r="N197" s="80"/>
      <c r="O197" s="80"/>
      <c r="P197" s="93"/>
      <c r="Q197" s="131"/>
      <c r="R197" s="9"/>
    </row>
    <row r="198" spans="1:18" ht="13.5">
      <c r="A198" s="130"/>
      <c r="B198" s="130"/>
      <c r="C198" s="174"/>
      <c r="D198" s="176"/>
      <c r="E198" s="176"/>
      <c r="F198" s="179" t="s">
        <v>182</v>
      </c>
      <c r="G198" s="179"/>
      <c r="H198" s="179"/>
      <c r="I198" s="178"/>
      <c r="J198" s="93"/>
      <c r="K198" s="80"/>
      <c r="L198" s="80"/>
      <c r="M198" s="80"/>
      <c r="N198" s="80"/>
      <c r="O198" s="80"/>
      <c r="P198" s="93"/>
      <c r="Q198" s="131"/>
      <c r="R198" s="9"/>
    </row>
    <row r="199" spans="1:18" ht="13.5">
      <c r="A199" s="130"/>
      <c r="B199" s="130"/>
      <c r="C199" s="132"/>
      <c r="D199" s="132"/>
      <c r="E199" s="132"/>
      <c r="F199" s="80"/>
      <c r="G199" s="80"/>
      <c r="H199" s="80"/>
      <c r="I199" s="180"/>
      <c r="J199" s="93"/>
      <c r="K199" s="80"/>
      <c r="L199" s="80"/>
      <c r="M199" s="80"/>
      <c r="N199" s="80"/>
      <c r="O199" s="80"/>
      <c r="P199" s="93"/>
      <c r="Q199" s="131"/>
      <c r="R199" s="9"/>
    </row>
    <row r="200" spans="1:18" ht="13.5">
      <c r="A200" s="130"/>
      <c r="B200" s="130"/>
      <c r="C200" s="181" t="s">
        <v>72</v>
      </c>
      <c r="D200" s="182">
        <f>COS(RADIANS($F$54-$F$57))*COS(RADIANS($F$54-$F$57))</f>
        <v>0.8830222215594891</v>
      </c>
      <c r="E200" s="182"/>
      <c r="F200" s="182"/>
      <c r="G200" s="182"/>
      <c r="H200" s="182"/>
      <c r="I200" s="182"/>
      <c r="J200" s="93"/>
      <c r="K200" s="80"/>
      <c r="L200" s="80"/>
      <c r="M200" s="80"/>
      <c r="N200" s="80"/>
      <c r="O200" s="80"/>
      <c r="P200" s="93"/>
      <c r="Q200" s="131"/>
      <c r="R200" s="9"/>
    </row>
    <row r="201" spans="1:18" ht="11.25" customHeight="1">
      <c r="A201" s="130"/>
      <c r="B201" s="130"/>
      <c r="C201" s="181"/>
      <c r="D201" s="183" t="s">
        <v>186</v>
      </c>
      <c r="E201" s="183"/>
      <c r="F201" s="184">
        <f>SIN(RADIANS($F$65+$F$60))*SIN(RADIANS($F$65-$F$56))</f>
        <v>0.18777686290078352</v>
      </c>
      <c r="G201" s="184"/>
      <c r="H201" s="184"/>
      <c r="I201" s="185" t="s">
        <v>183</v>
      </c>
      <c r="J201" s="93"/>
      <c r="K201" s="80"/>
      <c r="L201" s="80"/>
      <c r="M201" s="80"/>
      <c r="N201" s="80"/>
      <c r="O201" s="80"/>
      <c r="P201" s="93"/>
      <c r="Q201" s="131"/>
      <c r="R201" s="9"/>
    </row>
    <row r="202" spans="1:18" ht="10.5" customHeight="1">
      <c r="A202" s="130"/>
      <c r="B202" s="130"/>
      <c r="C202" s="181"/>
      <c r="D202" s="183"/>
      <c r="E202" s="183"/>
      <c r="F202" s="186">
        <f>COS(RADIANS($F$57+$F$60))*COS(RADIANS($F$57-$F$56))</f>
        <v>0.9731788727770883</v>
      </c>
      <c r="G202" s="186"/>
      <c r="H202" s="186"/>
      <c r="I202" s="185"/>
      <c r="J202" s="93"/>
      <c r="K202" s="80"/>
      <c r="L202" s="80"/>
      <c r="M202" s="80"/>
      <c r="N202" s="80"/>
      <c r="O202" s="80"/>
      <c r="P202" s="93"/>
      <c r="Q202" s="131"/>
      <c r="R202" s="9"/>
    </row>
    <row r="203" spans="1:18" ht="13.5" customHeight="1">
      <c r="A203" s="130"/>
      <c r="B203" s="130"/>
      <c r="C203" s="131"/>
      <c r="D203" s="131"/>
      <c r="E203" s="132"/>
      <c r="F203" s="80"/>
      <c r="G203" s="80"/>
      <c r="H203" s="80"/>
      <c r="I203" s="80"/>
      <c r="J203" s="93"/>
      <c r="K203" s="80"/>
      <c r="L203" s="80"/>
      <c r="M203" s="80"/>
      <c r="N203" s="80"/>
      <c r="O203" s="80"/>
      <c r="P203" s="93"/>
      <c r="Q203" s="131"/>
      <c r="R203" s="9"/>
    </row>
    <row r="204" spans="1:18" ht="15.75" customHeight="1">
      <c r="A204" s="130"/>
      <c r="B204" s="130"/>
      <c r="C204" s="181" t="s">
        <v>187</v>
      </c>
      <c r="D204" s="187">
        <f>$D$200</f>
        <v>0.8830222215594891</v>
      </c>
      <c r="E204" s="187"/>
      <c r="F204" s="187"/>
      <c r="G204" s="187"/>
      <c r="H204" s="187"/>
      <c r="I204" s="187"/>
      <c r="J204" s="93"/>
      <c r="K204" s="80"/>
      <c r="L204" s="80"/>
      <c r="M204" s="80"/>
      <c r="N204" s="80"/>
      <c r="O204" s="80"/>
      <c r="P204" s="93"/>
      <c r="Q204" s="131"/>
      <c r="R204" s="9"/>
    </row>
    <row r="205" spans="1:18" ht="9.75" customHeight="1">
      <c r="A205" s="130"/>
      <c r="B205" s="130"/>
      <c r="C205" s="181"/>
      <c r="D205" s="188">
        <f>COS(RADIANS($F$57))*COS(RADIANS($F$57))*COS(RADIANS($F$57+$F$60))</f>
        <v>0.9731788727770883</v>
      </c>
      <c r="E205" s="188"/>
      <c r="F205" s="189" t="s">
        <v>185</v>
      </c>
      <c r="G205" s="190">
        <f>(1+SQRT($F$201/$F$202))*(1+SQRT($F$201/$F$202))</f>
        <v>2.071478216896143</v>
      </c>
      <c r="H205" s="190"/>
      <c r="I205" s="190"/>
      <c r="J205" s="93"/>
      <c r="K205" s="80"/>
      <c r="L205" s="80"/>
      <c r="M205" s="80"/>
      <c r="N205" s="80"/>
      <c r="O205" s="80"/>
      <c r="P205" s="93"/>
      <c r="Q205" s="131"/>
      <c r="R205" s="9"/>
    </row>
    <row r="206" spans="1:18" ht="9" customHeight="1">
      <c r="A206" s="130"/>
      <c r="B206" s="130"/>
      <c r="C206" s="181"/>
      <c r="D206" s="191"/>
      <c r="E206" s="191"/>
      <c r="F206" s="192"/>
      <c r="G206" s="193"/>
      <c r="H206" s="193"/>
      <c r="I206" s="193"/>
      <c r="J206" s="93"/>
      <c r="K206" s="80"/>
      <c r="L206" s="80"/>
      <c r="M206" s="80"/>
      <c r="N206" s="80"/>
      <c r="O206" s="80"/>
      <c r="P206" s="93"/>
      <c r="Q206" s="131"/>
      <c r="R206" s="9"/>
    </row>
    <row r="207" spans="1:18" ht="5.25" customHeight="1">
      <c r="A207" s="130"/>
      <c r="B207" s="130"/>
      <c r="C207" s="131"/>
      <c r="D207" s="131"/>
      <c r="E207" s="132"/>
      <c r="F207" s="80"/>
      <c r="G207" s="80"/>
      <c r="H207" s="80"/>
      <c r="I207" s="80"/>
      <c r="J207" s="93"/>
      <c r="K207" s="80"/>
      <c r="L207" s="80"/>
      <c r="M207" s="80"/>
      <c r="N207" s="80"/>
      <c r="O207" s="80"/>
      <c r="P207" s="93"/>
      <c r="Q207" s="131"/>
      <c r="R207" s="9"/>
    </row>
    <row r="208" spans="1:18" ht="13.5">
      <c r="A208" s="130"/>
      <c r="B208" s="130"/>
      <c r="C208" s="132"/>
      <c r="D208" s="131"/>
      <c r="E208" s="134" t="s">
        <v>188</v>
      </c>
      <c r="F208" s="194">
        <f>ROUND($D$204/($D$205*$G$205),3)</f>
        <v>0.438</v>
      </c>
      <c r="G208" s="80"/>
      <c r="H208" s="80"/>
      <c r="I208" s="80"/>
      <c r="J208" s="93"/>
      <c r="K208" s="80"/>
      <c r="L208" s="80"/>
      <c r="M208" s="80"/>
      <c r="N208" s="80"/>
      <c r="O208" s="80"/>
      <c r="P208" s="93"/>
      <c r="Q208" s="131"/>
      <c r="R208" s="9"/>
    </row>
    <row r="209" spans="1:18" ht="12.75" customHeight="1">
      <c r="A209" s="130"/>
      <c r="B209" s="130"/>
      <c r="C209" s="131"/>
      <c r="D209" s="131"/>
      <c r="E209" s="132"/>
      <c r="F209" s="80"/>
      <c r="G209" s="80"/>
      <c r="H209" s="80"/>
      <c r="I209" s="80"/>
      <c r="J209" s="93"/>
      <c r="K209" s="80"/>
      <c r="L209" s="80"/>
      <c r="M209" s="80"/>
      <c r="N209" s="80"/>
      <c r="O209" s="80"/>
      <c r="P209" s="93"/>
      <c r="Q209" s="131"/>
      <c r="R209" s="9"/>
    </row>
    <row r="210" spans="1:18" ht="18" customHeight="1">
      <c r="A210" s="138" t="s">
        <v>301</v>
      </c>
      <c r="B210" s="138"/>
      <c r="C210" s="131"/>
      <c r="D210" s="131"/>
      <c r="E210" s="132"/>
      <c r="F210" s="80"/>
      <c r="G210" s="80"/>
      <c r="H210" s="80"/>
      <c r="I210" s="80"/>
      <c r="J210" s="93"/>
      <c r="K210" s="80"/>
      <c r="L210" s="80"/>
      <c r="M210" s="80"/>
      <c r="N210" s="80"/>
      <c r="O210" s="80"/>
      <c r="P210" s="93"/>
      <c r="Q210" s="131"/>
      <c r="R210" s="9"/>
    </row>
    <row r="211" spans="1:18" ht="13.5">
      <c r="A211" s="130"/>
      <c r="B211" s="195" t="s">
        <v>189</v>
      </c>
      <c r="C211" s="196"/>
      <c r="D211" s="131"/>
      <c r="E211" s="132" t="s">
        <v>192</v>
      </c>
      <c r="F211" s="80">
        <f>1/2*($F$12-$F$15)</f>
        <v>1.25</v>
      </c>
      <c r="G211" s="80"/>
      <c r="H211" s="80"/>
      <c r="I211" s="80"/>
      <c r="J211" s="93"/>
      <c r="K211" s="80"/>
      <c r="L211" s="80"/>
      <c r="M211" s="80"/>
      <c r="N211" s="80"/>
      <c r="O211" s="80"/>
      <c r="P211" s="93"/>
      <c r="Q211" s="131"/>
      <c r="R211" s="9"/>
    </row>
    <row r="212" spans="1:18" ht="13.5">
      <c r="A212" s="130"/>
      <c r="B212" s="130"/>
      <c r="C212" s="131"/>
      <c r="D212" s="131"/>
      <c r="E212" s="132" t="s">
        <v>191</v>
      </c>
      <c r="F212" s="80">
        <v>0.5</v>
      </c>
      <c r="G212" s="139" t="s">
        <v>193</v>
      </c>
      <c r="H212" s="80">
        <f>$F$208</f>
        <v>0.438</v>
      </c>
      <c r="I212" s="139" t="s">
        <v>194</v>
      </c>
      <c r="J212" s="197">
        <f>$F$7</f>
        <v>18</v>
      </c>
      <c r="K212" s="139" t="s">
        <v>194</v>
      </c>
      <c r="L212" s="198">
        <f>F211^2</f>
        <v>1.5625</v>
      </c>
      <c r="M212" s="139" t="s">
        <v>195</v>
      </c>
      <c r="N212" s="80">
        <f>COS(RADIANS($F$60+$F$57))</f>
        <v>0.9731788727770883</v>
      </c>
      <c r="O212" s="139" t="s">
        <v>196</v>
      </c>
      <c r="P212" s="93">
        <f>F212*H212*J212*L212*N212</f>
        <v>5.994173619511379</v>
      </c>
      <c r="Q212" s="131" t="s">
        <v>203</v>
      </c>
      <c r="R212" s="9"/>
    </row>
    <row r="213" spans="1:18" ht="13.5">
      <c r="A213" s="130"/>
      <c r="B213" s="130"/>
      <c r="C213" s="131"/>
      <c r="D213" s="131"/>
      <c r="E213" s="132" t="s">
        <v>198</v>
      </c>
      <c r="F213" s="80">
        <f>$F$208</f>
        <v>0.438</v>
      </c>
      <c r="G213" s="139" t="s">
        <v>193</v>
      </c>
      <c r="H213" s="80">
        <f>$F$48</f>
        <v>9.8</v>
      </c>
      <c r="I213" s="139" t="s">
        <v>194</v>
      </c>
      <c r="J213" s="93">
        <f>F211</f>
        <v>1.25</v>
      </c>
      <c r="K213" s="139" t="s">
        <v>194</v>
      </c>
      <c r="L213" s="80">
        <f>COS(RADIANS($F$60+$F$57))</f>
        <v>0.9731788727770883</v>
      </c>
      <c r="M213" s="139" t="s">
        <v>37</v>
      </c>
      <c r="N213" s="80">
        <f>F213*H213*J213*L213</f>
        <v>5.221591241885468</v>
      </c>
      <c r="O213" s="131" t="s">
        <v>197</v>
      </c>
      <c r="P213" s="93"/>
      <c r="Q213" s="131"/>
      <c r="R213" s="9"/>
    </row>
    <row r="214" spans="1:18" ht="13.5">
      <c r="A214" s="130"/>
      <c r="B214" s="130"/>
      <c r="C214" s="131"/>
      <c r="D214" s="131"/>
      <c r="E214" s="134" t="s">
        <v>199</v>
      </c>
      <c r="F214" s="80">
        <f>P212*1/3*F211</f>
        <v>2.4975723414630746</v>
      </c>
      <c r="G214" s="139" t="s">
        <v>200</v>
      </c>
      <c r="H214" s="80">
        <f>N213*1/2*F211</f>
        <v>3.263494526178418</v>
      </c>
      <c r="I214" s="139" t="s">
        <v>196</v>
      </c>
      <c r="J214" s="93">
        <f>F214+H214</f>
        <v>5.7610668676414925</v>
      </c>
      <c r="K214" s="180" t="s">
        <v>205</v>
      </c>
      <c r="L214" s="80"/>
      <c r="M214" s="139" t="s">
        <v>194</v>
      </c>
      <c r="N214" s="139" t="s">
        <v>201</v>
      </c>
      <c r="O214" s="139" t="s">
        <v>196</v>
      </c>
      <c r="P214" s="199">
        <f>ROUNDDOWN(J214*10^5,0)</f>
        <v>576106</v>
      </c>
      <c r="Q214" s="131" t="s">
        <v>207</v>
      </c>
      <c r="R214" s="9"/>
    </row>
    <row r="215" spans="1:18" ht="13.5">
      <c r="A215" s="130"/>
      <c r="B215" s="130"/>
      <c r="C215" s="131"/>
      <c r="D215" s="131"/>
      <c r="E215" s="134" t="s">
        <v>204</v>
      </c>
      <c r="F215" s="80">
        <f>P212</f>
        <v>5.994173619511379</v>
      </c>
      <c r="G215" s="139" t="s">
        <v>200</v>
      </c>
      <c r="H215" s="80">
        <f>N213</f>
        <v>5.221591241885468</v>
      </c>
      <c r="I215" s="139" t="s">
        <v>196</v>
      </c>
      <c r="J215" s="93">
        <f>F215+H215</f>
        <v>11.215764861396847</v>
      </c>
      <c r="K215" s="80" t="s">
        <v>202</v>
      </c>
      <c r="L215" s="80"/>
      <c r="M215" s="139" t="s">
        <v>194</v>
      </c>
      <c r="N215" s="139" t="s">
        <v>206</v>
      </c>
      <c r="O215" s="139" t="s">
        <v>196</v>
      </c>
      <c r="P215" s="199">
        <f>ROUNDDOWN(J215*10^3,0)</f>
        <v>11215</v>
      </c>
      <c r="Q215" s="131" t="s">
        <v>208</v>
      </c>
      <c r="R215" s="9"/>
    </row>
    <row r="216" spans="1:18" ht="4.5" customHeight="1">
      <c r="A216" s="130"/>
      <c r="B216" s="138"/>
      <c r="C216" s="131"/>
      <c r="D216" s="131"/>
      <c r="E216" s="134"/>
      <c r="F216" s="80"/>
      <c r="G216" s="139"/>
      <c r="H216" s="80"/>
      <c r="I216" s="139"/>
      <c r="J216" s="93"/>
      <c r="K216" s="80"/>
      <c r="L216" s="80"/>
      <c r="M216" s="139"/>
      <c r="N216" s="139"/>
      <c r="O216" s="139"/>
      <c r="P216" s="199"/>
      <c r="Q216" s="131"/>
      <c r="R216" s="9"/>
    </row>
    <row r="217" spans="1:18" ht="14.25" thickBot="1">
      <c r="A217" s="130"/>
      <c r="B217" s="138" t="s">
        <v>243</v>
      </c>
      <c r="C217" s="131"/>
      <c r="D217" s="131"/>
      <c r="E217" s="132"/>
      <c r="F217" s="80"/>
      <c r="G217" s="139" t="s">
        <v>235</v>
      </c>
      <c r="H217" s="139" t="s">
        <v>236</v>
      </c>
      <c r="I217" s="139" t="s">
        <v>237</v>
      </c>
      <c r="J217" s="139" t="s">
        <v>238</v>
      </c>
      <c r="K217" s="80"/>
      <c r="L217" s="80"/>
      <c r="M217" s="80"/>
      <c r="N217" s="80"/>
      <c r="O217" s="80"/>
      <c r="P217" s="93"/>
      <c r="Q217" s="131"/>
      <c r="R217" s="9"/>
    </row>
    <row r="218" spans="1:18" ht="14.25" thickBot="1">
      <c r="A218" s="130"/>
      <c r="B218" s="138"/>
      <c r="C218" s="131"/>
      <c r="D218" s="131"/>
      <c r="E218" s="132"/>
      <c r="F218" s="134" t="s">
        <v>232</v>
      </c>
      <c r="G218" s="200" t="s">
        <v>390</v>
      </c>
      <c r="H218" s="149">
        <f>VLOOKUP(G218,$G$185:$J$189,2,FALSE)</f>
        <v>1.3</v>
      </c>
      <c r="I218" s="135">
        <f>VLOOKUP(G218,$G$185:$J$189,3,FALSE)</f>
        <v>1.267</v>
      </c>
      <c r="J218" s="201">
        <f>VLOOKUP(G218,$G$185:$J$189,4,FALSE)</f>
        <v>4</v>
      </c>
      <c r="K218" s="80"/>
      <c r="L218" s="80"/>
      <c r="M218" s="80"/>
      <c r="N218" s="80"/>
      <c r="O218" s="80"/>
      <c r="P218" s="93"/>
      <c r="Q218" s="131"/>
      <c r="R218" s="9"/>
    </row>
    <row r="219" spans="1:18" ht="13.5">
      <c r="A219" s="130"/>
      <c r="B219" s="130"/>
      <c r="C219" s="131"/>
      <c r="D219" s="131"/>
      <c r="E219" s="132" t="s">
        <v>239</v>
      </c>
      <c r="F219" s="202">
        <f>$F$14*100</f>
        <v>30</v>
      </c>
      <c r="G219" s="80" t="s">
        <v>209</v>
      </c>
      <c r="H219" s="80"/>
      <c r="I219" s="80"/>
      <c r="J219" s="93"/>
      <c r="K219" s="80"/>
      <c r="L219" s="80"/>
      <c r="M219" s="80"/>
      <c r="N219" s="80"/>
      <c r="O219" s="80"/>
      <c r="P219" s="93"/>
      <c r="Q219" s="131"/>
      <c r="R219" s="9"/>
    </row>
    <row r="220" spans="1:18" ht="13.5">
      <c r="A220" s="130"/>
      <c r="B220" s="130"/>
      <c r="C220" s="131"/>
      <c r="D220" s="131"/>
      <c r="E220" s="134" t="s">
        <v>242</v>
      </c>
      <c r="F220" s="149">
        <f>F219-$F$176-(0.5*H218)</f>
        <v>23.35</v>
      </c>
      <c r="G220" s="80" t="s">
        <v>241</v>
      </c>
      <c r="H220" s="80"/>
      <c r="I220" s="80"/>
      <c r="J220" s="93"/>
      <c r="K220" s="80"/>
      <c r="L220" s="80"/>
      <c r="M220" s="80"/>
      <c r="N220" s="80"/>
      <c r="O220" s="80"/>
      <c r="P220" s="93"/>
      <c r="Q220" s="131"/>
      <c r="R220" s="9"/>
    </row>
    <row r="221" spans="1:18" ht="13.5">
      <c r="A221" s="130"/>
      <c r="B221" s="130"/>
      <c r="C221" s="131"/>
      <c r="D221" s="131"/>
      <c r="E221" s="134" t="s">
        <v>262</v>
      </c>
      <c r="F221" s="135">
        <f>7/8*F220</f>
        <v>20.431250000000002</v>
      </c>
      <c r="G221" s="80" t="s">
        <v>241</v>
      </c>
      <c r="H221" s="80"/>
      <c r="I221" s="80"/>
      <c r="J221" s="93"/>
      <c r="K221" s="80"/>
      <c r="L221" s="80"/>
      <c r="M221" s="80"/>
      <c r="N221" s="80"/>
      <c r="O221" s="80"/>
      <c r="P221" s="93"/>
      <c r="Q221" s="131"/>
      <c r="R221" s="9"/>
    </row>
    <row r="222" spans="1:18" ht="13.5">
      <c r="A222" s="130"/>
      <c r="B222" s="130"/>
      <c r="C222" s="131"/>
      <c r="D222" s="132" t="s">
        <v>247</v>
      </c>
      <c r="E222" s="134" t="s">
        <v>375</v>
      </c>
      <c r="F222" s="203">
        <f>P214</f>
        <v>576106</v>
      </c>
      <c r="G222" s="139" t="s">
        <v>244</v>
      </c>
      <c r="H222" s="202">
        <f>$H$183*F221</f>
        <v>398409.37500000006</v>
      </c>
      <c r="I222" s="139" t="s">
        <v>37</v>
      </c>
      <c r="J222" s="135">
        <f>F222/H222</f>
        <v>1.446015169698253</v>
      </c>
      <c r="K222" s="80" t="s">
        <v>246</v>
      </c>
      <c r="L222" s="80"/>
      <c r="M222" s="80"/>
      <c r="N222" s="80"/>
      <c r="O222" s="80"/>
      <c r="P222" s="148"/>
      <c r="Q222" s="131"/>
      <c r="R222" s="9"/>
    </row>
    <row r="223" spans="1:18" ht="13.5">
      <c r="A223" s="130"/>
      <c r="B223" s="130"/>
      <c r="C223" s="131"/>
      <c r="D223" s="132" t="s">
        <v>248</v>
      </c>
      <c r="E223" s="134" t="s">
        <v>249</v>
      </c>
      <c r="F223" s="203">
        <f>P215</f>
        <v>11215</v>
      </c>
      <c r="G223" s="139" t="s">
        <v>244</v>
      </c>
      <c r="H223" s="80">
        <f>$H$181*F221</f>
        <v>3146.4125000000004</v>
      </c>
      <c r="I223" s="139" t="s">
        <v>37</v>
      </c>
      <c r="J223" s="148">
        <f>F223/H223</f>
        <v>3.564376889552784</v>
      </c>
      <c r="K223" s="80" t="s">
        <v>252</v>
      </c>
      <c r="L223" s="80"/>
      <c r="M223" s="80"/>
      <c r="N223" s="80"/>
      <c r="O223" s="80"/>
      <c r="P223" s="93"/>
      <c r="Q223" s="131"/>
      <c r="R223" s="9"/>
    </row>
    <row r="224" spans="1:19" ht="13.5">
      <c r="A224" s="130"/>
      <c r="B224" s="130"/>
      <c r="C224" s="131"/>
      <c r="D224" s="132" t="s">
        <v>254</v>
      </c>
      <c r="E224" s="132" t="s">
        <v>253</v>
      </c>
      <c r="F224" s="80">
        <f>J222/I218</f>
        <v>1.1412905838186687</v>
      </c>
      <c r="G224" s="80" t="s">
        <v>257</v>
      </c>
      <c r="H224" s="203">
        <f>ROUNDDOWN(1000/F224,0)</f>
        <v>876</v>
      </c>
      <c r="I224" s="80" t="s">
        <v>258</v>
      </c>
      <c r="J224" s="93"/>
      <c r="K224" s="80"/>
      <c r="L224" s="80"/>
      <c r="M224" s="80"/>
      <c r="N224" s="80"/>
      <c r="O224" s="80"/>
      <c r="P224" s="93"/>
      <c r="Q224" s="131"/>
      <c r="R224" s="9"/>
      <c r="S224" s="5"/>
    </row>
    <row r="225" spans="1:18" ht="13.5">
      <c r="A225" s="130"/>
      <c r="B225" s="138"/>
      <c r="C225" s="131"/>
      <c r="D225" s="132" t="s">
        <v>255</v>
      </c>
      <c r="E225" s="132" t="s">
        <v>256</v>
      </c>
      <c r="F225" s="80">
        <f>J223/J218</f>
        <v>0.891094222388196</v>
      </c>
      <c r="G225" s="80" t="s">
        <v>257</v>
      </c>
      <c r="H225" s="203">
        <f>ROUNDDOWN(1000/F225,0)</f>
        <v>1122</v>
      </c>
      <c r="I225" s="80" t="s">
        <v>258</v>
      </c>
      <c r="J225" s="93"/>
      <c r="K225" s="80"/>
      <c r="L225" s="80"/>
      <c r="M225" s="80"/>
      <c r="N225" s="80"/>
      <c r="O225" s="80"/>
      <c r="P225" s="93"/>
      <c r="Q225" s="131"/>
      <c r="R225" s="9"/>
    </row>
    <row r="226" spans="1:18" ht="13.5">
      <c r="A226" s="130"/>
      <c r="B226" s="138"/>
      <c r="C226" s="131"/>
      <c r="D226" s="131"/>
      <c r="E226" s="132"/>
      <c r="F226" s="80"/>
      <c r="G226" s="80"/>
      <c r="H226" s="154">
        <f>MIN(H224:H225)</f>
        <v>876</v>
      </c>
      <c r="I226" s="135" t="s">
        <v>258</v>
      </c>
      <c r="J226" s="93"/>
      <c r="K226" s="80"/>
      <c r="L226" s="80"/>
      <c r="M226" s="80"/>
      <c r="N226" s="80"/>
      <c r="O226" s="80"/>
      <c r="P226" s="93"/>
      <c r="Q226" s="131"/>
      <c r="R226" s="9"/>
    </row>
    <row r="227" spans="1:18" ht="5.25" customHeight="1" thickBot="1">
      <c r="A227" s="130"/>
      <c r="B227" s="130"/>
      <c r="C227" s="131"/>
      <c r="D227" s="131"/>
      <c r="E227" s="132"/>
      <c r="F227" s="80"/>
      <c r="G227" s="80"/>
      <c r="H227" s="80"/>
      <c r="I227" s="80"/>
      <c r="J227" s="93"/>
      <c r="K227" s="80"/>
      <c r="L227" s="80"/>
      <c r="M227" s="80"/>
      <c r="N227" s="80"/>
      <c r="O227" s="80"/>
      <c r="P227" s="93"/>
      <c r="Q227" s="131"/>
      <c r="R227" s="9"/>
    </row>
    <row r="228" spans="1:18" ht="14.25" thickBot="1">
      <c r="A228" s="130"/>
      <c r="B228" s="138" t="s">
        <v>259</v>
      </c>
      <c r="C228" s="131"/>
      <c r="D228" s="133"/>
      <c r="E228" s="134" t="s">
        <v>260</v>
      </c>
      <c r="F228" s="80"/>
      <c r="G228" s="204" t="str">
        <f>G218</f>
        <v>D13</v>
      </c>
      <c r="H228" s="205">
        <v>300</v>
      </c>
      <c r="I228" s="135" t="s">
        <v>370</v>
      </c>
      <c r="J228" s="93"/>
      <c r="K228" s="80"/>
      <c r="L228" s="80"/>
      <c r="M228" s="80"/>
      <c r="N228" s="80"/>
      <c r="O228" s="80"/>
      <c r="P228" s="93"/>
      <c r="Q228" s="131"/>
      <c r="R228" s="9"/>
    </row>
    <row r="229" spans="1:18" ht="3.75" customHeight="1">
      <c r="A229" s="130"/>
      <c r="B229" s="130"/>
      <c r="C229" s="131"/>
      <c r="D229" s="131"/>
      <c r="E229" s="132"/>
      <c r="F229" s="80"/>
      <c r="G229" s="80"/>
      <c r="H229" s="80"/>
      <c r="I229" s="80"/>
      <c r="J229" s="93"/>
      <c r="K229" s="80"/>
      <c r="L229" s="80"/>
      <c r="M229" s="80"/>
      <c r="N229" s="80"/>
      <c r="O229" s="80"/>
      <c r="P229" s="93"/>
      <c r="Q229" s="131"/>
      <c r="R229" s="9"/>
    </row>
    <row r="230" spans="1:18" ht="13.5">
      <c r="A230" s="130"/>
      <c r="B230" s="138" t="s">
        <v>261</v>
      </c>
      <c r="C230" s="131"/>
      <c r="D230" s="131"/>
      <c r="E230" s="132"/>
      <c r="F230" s="80"/>
      <c r="G230" s="80"/>
      <c r="H230" s="80"/>
      <c r="I230" s="80"/>
      <c r="J230" s="93"/>
      <c r="K230" s="80"/>
      <c r="L230" s="80"/>
      <c r="M230" s="80"/>
      <c r="N230" s="80"/>
      <c r="O230" s="80"/>
      <c r="P230" s="93"/>
      <c r="Q230" s="131"/>
      <c r="R230" s="9"/>
    </row>
    <row r="231" spans="1:18" ht="12" customHeight="1">
      <c r="A231" s="130"/>
      <c r="B231" s="130"/>
      <c r="C231" s="206" t="s">
        <v>367</v>
      </c>
      <c r="D231" s="207" t="s">
        <v>263</v>
      </c>
      <c r="E231" s="208">
        <v>15</v>
      </c>
      <c r="F231" s="80"/>
      <c r="G231" s="80"/>
      <c r="H231" s="80"/>
      <c r="I231" s="80"/>
      <c r="J231" s="93"/>
      <c r="K231" s="80"/>
      <c r="L231" s="80"/>
      <c r="M231" s="80"/>
      <c r="N231" s="80"/>
      <c r="O231" s="80"/>
      <c r="P231" s="93"/>
      <c r="Q231" s="131"/>
      <c r="R231" s="9"/>
    </row>
    <row r="232" spans="1:18" ht="9" customHeight="1">
      <c r="A232" s="130"/>
      <c r="B232" s="130"/>
      <c r="C232" s="206"/>
      <c r="D232" s="209" t="s">
        <v>264</v>
      </c>
      <c r="E232" s="208"/>
      <c r="F232" s="80"/>
      <c r="G232" s="80"/>
      <c r="H232" s="80"/>
      <c r="I232" s="80"/>
      <c r="J232" s="93"/>
      <c r="K232" s="80"/>
      <c r="L232" s="80"/>
      <c r="M232" s="80"/>
      <c r="N232" s="80"/>
      <c r="O232" s="80"/>
      <c r="P232" s="93"/>
      <c r="Q232" s="131"/>
      <c r="R232" s="9"/>
    </row>
    <row r="233" spans="1:18" ht="13.5">
      <c r="A233" s="130"/>
      <c r="B233" s="130"/>
      <c r="C233" s="210" t="s">
        <v>289</v>
      </c>
      <c r="D233" s="211">
        <v>100</v>
      </c>
      <c r="E233" s="212" t="s">
        <v>265</v>
      </c>
      <c r="F233" s="80"/>
      <c r="G233" s="80"/>
      <c r="H233" s="80"/>
      <c r="I233" s="80"/>
      <c r="J233" s="93"/>
      <c r="K233" s="80"/>
      <c r="L233" s="80"/>
      <c r="M233" s="80"/>
      <c r="N233" s="80"/>
      <c r="O233" s="80"/>
      <c r="P233" s="93"/>
      <c r="Q233" s="131"/>
      <c r="R233" s="9"/>
    </row>
    <row r="234" spans="1:18" ht="13.5">
      <c r="A234" s="130"/>
      <c r="B234" s="130"/>
      <c r="C234" s="131"/>
      <c r="D234" s="132" t="s">
        <v>266</v>
      </c>
      <c r="E234" s="176" t="s">
        <v>270</v>
      </c>
      <c r="F234" s="176"/>
      <c r="G234" s="139"/>
      <c r="H234" s="80">
        <f>1000/H228</f>
        <v>3.3333333333333335</v>
      </c>
      <c r="I234" s="139" t="s">
        <v>267</v>
      </c>
      <c r="J234" s="197">
        <f>I218*100</f>
        <v>126.69999999999999</v>
      </c>
      <c r="K234" s="139" t="s">
        <v>268</v>
      </c>
      <c r="L234" s="213">
        <f>H234*J234</f>
        <v>422.3333333333333</v>
      </c>
      <c r="M234" s="80"/>
      <c r="N234" s="80"/>
      <c r="O234" s="80"/>
      <c r="P234" s="93"/>
      <c r="Q234" s="131"/>
      <c r="R234" s="9"/>
    </row>
    <row r="235" spans="1:18" ht="13.5">
      <c r="A235" s="130"/>
      <c r="B235" s="130"/>
      <c r="C235" s="131"/>
      <c r="D235" s="131"/>
      <c r="E235" s="176" t="s">
        <v>271</v>
      </c>
      <c r="F235" s="176"/>
      <c r="G235" s="139"/>
      <c r="H235" s="80">
        <f>L234</f>
        <v>422.3333333333333</v>
      </c>
      <c r="I235" s="139" t="s">
        <v>269</v>
      </c>
      <c r="J235" s="214">
        <f>D233*F220*100</f>
        <v>233500</v>
      </c>
      <c r="K235" s="139" t="s">
        <v>268</v>
      </c>
      <c r="L235" s="135">
        <f>H235/J235</f>
        <v>0.0018087080656673804</v>
      </c>
      <c r="M235" s="80"/>
      <c r="N235" s="80"/>
      <c r="O235" s="80"/>
      <c r="P235" s="93"/>
      <c r="Q235" s="131"/>
      <c r="R235" s="9"/>
    </row>
    <row r="236" spans="1:18" ht="13.5">
      <c r="A236" s="130"/>
      <c r="B236" s="130"/>
      <c r="C236" s="131"/>
      <c r="D236" s="131"/>
      <c r="E236" s="176" t="s">
        <v>273</v>
      </c>
      <c r="F236" s="176"/>
      <c r="G236" s="80" t="s">
        <v>275</v>
      </c>
      <c r="H236" s="80">
        <f>2*E231*L235</f>
        <v>0.05426124197002141</v>
      </c>
      <c r="I236" s="139" t="s">
        <v>272</v>
      </c>
      <c r="J236" s="93">
        <f>E231*L235*E231*L235</f>
        <v>0.0007360705950323033</v>
      </c>
      <c r="K236" s="139" t="s">
        <v>276</v>
      </c>
      <c r="L236" s="80">
        <f>E231*L235</f>
        <v>0.027130620985010706</v>
      </c>
      <c r="M236" s="139" t="s">
        <v>268</v>
      </c>
      <c r="N236" s="135">
        <f>SQRT(H236+J236)-L236</f>
        <v>0.20738443730561104</v>
      </c>
      <c r="O236" s="80"/>
      <c r="P236" s="93"/>
      <c r="Q236" s="131"/>
      <c r="R236" s="9"/>
    </row>
    <row r="237" spans="1:18" ht="13.5">
      <c r="A237" s="130"/>
      <c r="B237" s="130"/>
      <c r="C237" s="131"/>
      <c r="D237" s="131"/>
      <c r="E237" s="176" t="s">
        <v>277</v>
      </c>
      <c r="F237" s="176"/>
      <c r="G237" s="80"/>
      <c r="H237" s="80">
        <v>1</v>
      </c>
      <c r="I237" s="139" t="s">
        <v>274</v>
      </c>
      <c r="J237" s="93">
        <f>N236/3</f>
        <v>0.06912814576853701</v>
      </c>
      <c r="K237" s="139" t="s">
        <v>268</v>
      </c>
      <c r="L237" s="135">
        <f>H237-J237</f>
        <v>0.930871854231463</v>
      </c>
      <c r="M237" s="80"/>
      <c r="N237" s="80"/>
      <c r="O237" s="80"/>
      <c r="P237" s="93"/>
      <c r="Q237" s="131"/>
      <c r="R237" s="9"/>
    </row>
    <row r="238" spans="1:18" ht="3.75" customHeight="1">
      <c r="A238" s="130"/>
      <c r="B238" s="130"/>
      <c r="C238" s="131"/>
      <c r="D238" s="131"/>
      <c r="E238" s="132"/>
      <c r="F238" s="80"/>
      <c r="G238" s="80"/>
      <c r="H238" s="80"/>
      <c r="I238" s="80"/>
      <c r="J238" s="93"/>
      <c r="K238" s="80"/>
      <c r="L238" s="80"/>
      <c r="M238" s="80"/>
      <c r="N238" s="80"/>
      <c r="O238" s="80"/>
      <c r="P238" s="93"/>
      <c r="Q238" s="131"/>
      <c r="R238" s="9"/>
    </row>
    <row r="239" spans="1:18" ht="13.5">
      <c r="A239" s="130"/>
      <c r="B239" s="130"/>
      <c r="C239" s="133" t="s">
        <v>278</v>
      </c>
      <c r="D239" s="131"/>
      <c r="E239" s="132"/>
      <c r="F239" s="80"/>
      <c r="G239" s="80"/>
      <c r="H239" s="80"/>
      <c r="I239" s="80"/>
      <c r="J239" s="93"/>
      <c r="K239" s="80"/>
      <c r="L239" s="80"/>
      <c r="M239" s="80"/>
      <c r="N239" s="80"/>
      <c r="O239" s="80"/>
      <c r="P239" s="93"/>
      <c r="Q239" s="131"/>
      <c r="R239" s="9"/>
    </row>
    <row r="240" spans="1:18" ht="13.5">
      <c r="A240" s="130"/>
      <c r="B240" s="130"/>
      <c r="C240" s="131"/>
      <c r="D240" s="131"/>
      <c r="E240" s="134" t="s">
        <v>279</v>
      </c>
      <c r="F240" s="215">
        <f>2*P214*10</f>
        <v>11522120</v>
      </c>
      <c r="G240" s="93" t="s">
        <v>280</v>
      </c>
      <c r="H240" s="80">
        <f>N236</f>
        <v>0.20738443730561104</v>
      </c>
      <c r="I240" s="139" t="s">
        <v>267</v>
      </c>
      <c r="J240" s="80">
        <f>L237</f>
        <v>0.930871854231463</v>
      </c>
      <c r="K240" s="139" t="s">
        <v>267</v>
      </c>
      <c r="L240" s="215">
        <f>D233*10</f>
        <v>1000</v>
      </c>
      <c r="M240" s="139" t="s">
        <v>267</v>
      </c>
      <c r="N240" s="203">
        <f>POWER(F220*10,2)</f>
        <v>54522.25</v>
      </c>
      <c r="O240" s="139" t="s">
        <v>268</v>
      </c>
      <c r="P240" s="148">
        <f>F240/(H240*J240*L240*N240)</f>
        <v>1.0946935579022232</v>
      </c>
      <c r="Q240" s="131" t="s">
        <v>281</v>
      </c>
      <c r="R240" s="9"/>
    </row>
    <row r="241" spans="1:18" ht="13.5">
      <c r="A241" s="130"/>
      <c r="B241" s="130"/>
      <c r="C241" s="131"/>
      <c r="D241" s="131"/>
      <c r="E241" s="132"/>
      <c r="F241" s="80"/>
      <c r="G241" s="80"/>
      <c r="H241" s="80"/>
      <c r="I241" s="80"/>
      <c r="J241" s="93"/>
      <c r="K241" s="80"/>
      <c r="L241" s="80"/>
      <c r="M241" s="80"/>
      <c r="N241" s="148" t="s">
        <v>282</v>
      </c>
      <c r="O241" s="139" t="s">
        <v>268</v>
      </c>
      <c r="P241" s="216">
        <f>$F$179</f>
        <v>8</v>
      </c>
      <c r="Q241" s="131" t="s">
        <v>281</v>
      </c>
      <c r="R241" s="9"/>
    </row>
    <row r="242" spans="1:18" ht="15" customHeight="1">
      <c r="A242" s="130"/>
      <c r="B242" s="130"/>
      <c r="C242" s="131"/>
      <c r="D242" s="131"/>
      <c r="E242" s="142"/>
      <c r="F242" s="142"/>
      <c r="G242" s="80"/>
      <c r="H242" s="80"/>
      <c r="I242" s="80"/>
      <c r="J242" s="93"/>
      <c r="K242" s="80"/>
      <c r="L242" s="80"/>
      <c r="M242" s="80"/>
      <c r="N242" s="148" t="s">
        <v>287</v>
      </c>
      <c r="O242" s="80"/>
      <c r="P242" s="147" t="str">
        <f>IF(P241&gt;P240,"OK","NG")</f>
        <v>OK</v>
      </c>
      <c r="Q242" s="131"/>
      <c r="R242" s="9"/>
    </row>
    <row r="243" spans="1:18" ht="3.75" customHeight="1">
      <c r="A243" s="130"/>
      <c r="B243" s="130"/>
      <c r="C243" s="131"/>
      <c r="D243" s="131"/>
      <c r="E243" s="132"/>
      <c r="F243" s="80"/>
      <c r="G243" s="80"/>
      <c r="H243" s="80"/>
      <c r="I243" s="80"/>
      <c r="J243" s="93"/>
      <c r="K243" s="80"/>
      <c r="L243" s="80"/>
      <c r="M243" s="80"/>
      <c r="N243" s="80"/>
      <c r="O243" s="80"/>
      <c r="P243" s="93"/>
      <c r="Q243" s="131"/>
      <c r="R243" s="9"/>
    </row>
    <row r="244" spans="1:18" ht="13.5">
      <c r="A244" s="130"/>
      <c r="B244" s="130"/>
      <c r="C244" s="133" t="s">
        <v>283</v>
      </c>
      <c r="D244" s="131"/>
      <c r="E244" s="132"/>
      <c r="F244" s="80"/>
      <c r="G244" s="80"/>
      <c r="H244" s="80"/>
      <c r="I244" s="80"/>
      <c r="J244" s="93"/>
      <c r="K244" s="80"/>
      <c r="L244" s="80"/>
      <c r="M244" s="80"/>
      <c r="N244" s="80"/>
      <c r="O244" s="80"/>
      <c r="P244" s="93"/>
      <c r="Q244" s="131"/>
      <c r="R244" s="9"/>
    </row>
    <row r="245" spans="1:18" ht="13.5">
      <c r="A245" s="130"/>
      <c r="B245" s="130"/>
      <c r="C245" s="131"/>
      <c r="D245" s="131"/>
      <c r="E245" s="134" t="s">
        <v>284</v>
      </c>
      <c r="F245" s="203">
        <f>P214*10</f>
        <v>5761060</v>
      </c>
      <c r="G245" s="93" t="s">
        <v>280</v>
      </c>
      <c r="H245" s="80">
        <f>L234</f>
        <v>422.3333333333333</v>
      </c>
      <c r="I245" s="139" t="s">
        <v>13</v>
      </c>
      <c r="J245" s="93">
        <f>L237</f>
        <v>0.930871854231463</v>
      </c>
      <c r="K245" s="139" t="s">
        <v>13</v>
      </c>
      <c r="L245" s="202">
        <f>F220*10</f>
        <v>233.5</v>
      </c>
      <c r="M245" s="80" t="s">
        <v>310</v>
      </c>
      <c r="N245" s="194">
        <f>F245/(H245*J245*L245)</f>
        <v>62.758167511091074</v>
      </c>
      <c r="O245" s="131" t="s">
        <v>281</v>
      </c>
      <c r="P245" s="93"/>
      <c r="Q245" s="131"/>
      <c r="R245" s="9"/>
    </row>
    <row r="246" spans="1:18" ht="13.5">
      <c r="A246" s="130"/>
      <c r="B246" s="130"/>
      <c r="C246" s="131"/>
      <c r="D246" s="131"/>
      <c r="E246" s="132"/>
      <c r="F246" s="80"/>
      <c r="G246" s="80"/>
      <c r="H246" s="80"/>
      <c r="I246" s="80"/>
      <c r="J246" s="93"/>
      <c r="K246" s="80"/>
      <c r="L246" s="148" t="s">
        <v>286</v>
      </c>
      <c r="M246" s="139" t="s">
        <v>268</v>
      </c>
      <c r="N246" s="136">
        <f>$F$183</f>
        <v>195</v>
      </c>
      <c r="O246" s="131" t="s">
        <v>281</v>
      </c>
      <c r="P246" s="93"/>
      <c r="Q246" s="131"/>
      <c r="R246" s="9"/>
    </row>
    <row r="247" spans="1:18" ht="15" customHeight="1">
      <c r="A247" s="130"/>
      <c r="B247" s="130"/>
      <c r="C247" s="131"/>
      <c r="D247" s="131"/>
      <c r="E247" s="132"/>
      <c r="F247" s="80"/>
      <c r="G247" s="80"/>
      <c r="H247" s="80"/>
      <c r="I247" s="80"/>
      <c r="J247" s="93"/>
      <c r="K247" s="80"/>
      <c r="L247" s="80"/>
      <c r="M247" s="80"/>
      <c r="N247" s="148" t="s">
        <v>288</v>
      </c>
      <c r="O247" s="80"/>
      <c r="P247" s="147" t="str">
        <f>IF(N246&gt;N245,"OK","NG")</f>
        <v>OK</v>
      </c>
      <c r="Q247" s="131"/>
      <c r="R247" s="9"/>
    </row>
    <row r="248" spans="1:18" ht="13.5">
      <c r="A248" s="130"/>
      <c r="B248" s="130"/>
      <c r="C248" s="133" t="s">
        <v>290</v>
      </c>
      <c r="D248" s="131"/>
      <c r="E248" s="132"/>
      <c r="F248" s="80"/>
      <c r="G248" s="80"/>
      <c r="H248" s="80"/>
      <c r="I248" s="80"/>
      <c r="J248" s="93"/>
      <c r="K248" s="80"/>
      <c r="L248" s="80"/>
      <c r="M248" s="80"/>
      <c r="N248" s="80"/>
      <c r="O248" s="80"/>
      <c r="P248" s="93"/>
      <c r="Q248" s="131"/>
      <c r="R248" s="9"/>
    </row>
    <row r="249" spans="1:18" ht="13.5">
      <c r="A249" s="130"/>
      <c r="B249" s="130"/>
      <c r="C249" s="131"/>
      <c r="D249" s="131"/>
      <c r="E249" s="134" t="s">
        <v>291</v>
      </c>
      <c r="F249" s="203">
        <f>P215</f>
        <v>11215</v>
      </c>
      <c r="G249" s="93" t="s">
        <v>280</v>
      </c>
      <c r="H249" s="202">
        <f>D233*10</f>
        <v>1000</v>
      </c>
      <c r="I249" s="139" t="s">
        <v>13</v>
      </c>
      <c r="J249" s="217">
        <f>F220*10</f>
        <v>233.5</v>
      </c>
      <c r="K249" s="80" t="s">
        <v>310</v>
      </c>
      <c r="L249" s="135">
        <f>F249/(H249*J249)</f>
        <v>0.04802997858672377</v>
      </c>
      <c r="M249" s="131" t="s">
        <v>216</v>
      </c>
      <c r="N249" s="80"/>
      <c r="O249" s="80"/>
      <c r="P249" s="93"/>
      <c r="Q249" s="131"/>
      <c r="R249" s="9"/>
    </row>
    <row r="250" spans="1:18" ht="13.5">
      <c r="A250" s="130"/>
      <c r="B250" s="130"/>
      <c r="C250" s="131"/>
      <c r="D250" s="131"/>
      <c r="E250" s="132"/>
      <c r="F250" s="80"/>
      <c r="G250" s="80"/>
      <c r="H250" s="80"/>
      <c r="I250" s="80"/>
      <c r="J250" s="148" t="s">
        <v>292</v>
      </c>
      <c r="K250" s="139" t="s">
        <v>37</v>
      </c>
      <c r="L250" s="216">
        <f>$F$180</f>
        <v>0.73</v>
      </c>
      <c r="M250" s="131" t="s">
        <v>216</v>
      </c>
      <c r="N250" s="80"/>
      <c r="O250" s="80"/>
      <c r="P250" s="93"/>
      <c r="Q250" s="131"/>
      <c r="R250" s="9"/>
    </row>
    <row r="251" spans="1:18" ht="13.5">
      <c r="A251" s="130"/>
      <c r="B251" s="130"/>
      <c r="C251" s="131"/>
      <c r="D251" s="131"/>
      <c r="E251" s="132"/>
      <c r="F251" s="80"/>
      <c r="G251" s="80"/>
      <c r="H251" s="80"/>
      <c r="I251" s="80"/>
      <c r="J251" s="93"/>
      <c r="K251" s="80"/>
      <c r="L251" s="135"/>
      <c r="M251" s="80"/>
      <c r="N251" s="148" t="s">
        <v>293</v>
      </c>
      <c r="O251" s="80"/>
      <c r="P251" s="147" t="str">
        <f>IF(L250&gt;L249,"OK","NG")</f>
        <v>OK</v>
      </c>
      <c r="Q251" s="131"/>
      <c r="R251" s="9"/>
    </row>
    <row r="252" spans="1:18" ht="3" customHeight="1">
      <c r="A252" s="130"/>
      <c r="B252" s="130"/>
      <c r="C252" s="131"/>
      <c r="D252" s="131"/>
      <c r="E252" s="132"/>
      <c r="F252" s="80"/>
      <c r="G252" s="80"/>
      <c r="H252" s="80"/>
      <c r="I252" s="80"/>
      <c r="J252" s="93"/>
      <c r="K252" s="80"/>
      <c r="L252" s="80"/>
      <c r="M252" s="80"/>
      <c r="N252" s="80"/>
      <c r="O252" s="80"/>
      <c r="P252" s="93"/>
      <c r="Q252" s="131"/>
      <c r="R252" s="9"/>
    </row>
    <row r="253" spans="1:18" ht="13.5">
      <c r="A253" s="130"/>
      <c r="B253" s="195" t="s">
        <v>294</v>
      </c>
      <c r="C253" s="196"/>
      <c r="D253" s="131"/>
      <c r="E253" s="132" t="s">
        <v>295</v>
      </c>
      <c r="F253" s="80">
        <f>$F$12-$F$15</f>
        <v>2.5</v>
      </c>
      <c r="G253" s="80"/>
      <c r="H253" s="80"/>
      <c r="I253" s="80"/>
      <c r="J253" s="93"/>
      <c r="K253" s="80"/>
      <c r="L253" s="80"/>
      <c r="M253" s="80"/>
      <c r="N253" s="80"/>
      <c r="O253" s="80"/>
      <c r="P253" s="93"/>
      <c r="Q253" s="131"/>
      <c r="R253" s="9"/>
    </row>
    <row r="254" spans="1:18" ht="13.5">
      <c r="A254" s="130"/>
      <c r="B254" s="130"/>
      <c r="C254" s="131"/>
      <c r="D254" s="131"/>
      <c r="E254" s="132" t="s">
        <v>191</v>
      </c>
      <c r="F254" s="80">
        <v>0.5</v>
      </c>
      <c r="G254" s="139" t="s">
        <v>13</v>
      </c>
      <c r="H254" s="80">
        <f>$F$208</f>
        <v>0.438</v>
      </c>
      <c r="I254" s="139" t="s">
        <v>13</v>
      </c>
      <c r="J254" s="197">
        <f>$F$7</f>
        <v>18</v>
      </c>
      <c r="K254" s="139" t="s">
        <v>13</v>
      </c>
      <c r="L254" s="198">
        <f>F253^2</f>
        <v>6.25</v>
      </c>
      <c r="M254" s="139" t="s">
        <v>13</v>
      </c>
      <c r="N254" s="80">
        <f>COS(RADIANS($F$60+$F$57))</f>
        <v>0.9731788727770883</v>
      </c>
      <c r="O254" s="139" t="s">
        <v>37</v>
      </c>
      <c r="P254" s="93">
        <f>F254*H254*J254*L254*N254</f>
        <v>23.976694478045516</v>
      </c>
      <c r="Q254" s="131" t="s">
        <v>197</v>
      </c>
      <c r="R254" s="9"/>
    </row>
    <row r="255" spans="1:18" ht="13.5">
      <c r="A255" s="130"/>
      <c r="B255" s="130"/>
      <c r="C255" s="131"/>
      <c r="D255" s="131"/>
      <c r="E255" s="132" t="s">
        <v>198</v>
      </c>
      <c r="F255" s="80">
        <f>$F$208</f>
        <v>0.438</v>
      </c>
      <c r="G255" s="139" t="s">
        <v>13</v>
      </c>
      <c r="H255" s="80">
        <f>$F$48</f>
        <v>9.8</v>
      </c>
      <c r="I255" s="139" t="s">
        <v>13</v>
      </c>
      <c r="J255" s="93">
        <f>F253</f>
        <v>2.5</v>
      </c>
      <c r="K255" s="139" t="s">
        <v>13</v>
      </c>
      <c r="L255" s="80">
        <f>COS(RADIANS($F$60+$F$57))</f>
        <v>0.9731788727770883</v>
      </c>
      <c r="M255" s="139" t="s">
        <v>37</v>
      </c>
      <c r="N255" s="80">
        <f>F255*H255*J255*L255</f>
        <v>10.443182483770936</v>
      </c>
      <c r="O255" s="131" t="s">
        <v>197</v>
      </c>
      <c r="P255" s="93"/>
      <c r="Q255" s="131"/>
      <c r="R255" s="9"/>
    </row>
    <row r="256" spans="1:18" ht="13.5">
      <c r="A256" s="130"/>
      <c r="B256" s="130"/>
      <c r="C256" s="131"/>
      <c r="D256" s="131"/>
      <c r="E256" s="134" t="s">
        <v>199</v>
      </c>
      <c r="F256" s="80">
        <f>P254*1/3*F253</f>
        <v>19.980578731704597</v>
      </c>
      <c r="G256" s="139" t="s">
        <v>31</v>
      </c>
      <c r="H256" s="80">
        <f>N255*1/2*F253</f>
        <v>13.053978104713671</v>
      </c>
      <c r="I256" s="139" t="s">
        <v>37</v>
      </c>
      <c r="J256" s="93">
        <f>F256+H256</f>
        <v>33.03455683641827</v>
      </c>
      <c r="K256" s="180" t="s">
        <v>202</v>
      </c>
      <c r="L256" s="80"/>
      <c r="M256" s="139" t="s">
        <v>13</v>
      </c>
      <c r="N256" s="139" t="s">
        <v>201</v>
      </c>
      <c r="O256" s="139" t="s">
        <v>37</v>
      </c>
      <c r="P256" s="199">
        <f>ROUNDDOWN(J256*10^5,0)</f>
        <v>3303455</v>
      </c>
      <c r="Q256" s="131" t="s">
        <v>207</v>
      </c>
      <c r="R256" s="9"/>
    </row>
    <row r="257" spans="1:18" ht="13.5">
      <c r="A257" s="130"/>
      <c r="B257" s="130"/>
      <c r="C257" s="131"/>
      <c r="D257" s="131"/>
      <c r="E257" s="134" t="s">
        <v>204</v>
      </c>
      <c r="F257" s="80">
        <f>P254</f>
        <v>23.976694478045516</v>
      </c>
      <c r="G257" s="139" t="s">
        <v>31</v>
      </c>
      <c r="H257" s="80">
        <f>N255</f>
        <v>10.443182483770936</v>
      </c>
      <c r="I257" s="139" t="s">
        <v>37</v>
      </c>
      <c r="J257" s="93">
        <f>F257+H257</f>
        <v>34.419876961816456</v>
      </c>
      <c r="K257" s="80" t="s">
        <v>202</v>
      </c>
      <c r="L257" s="80"/>
      <c r="M257" s="139" t="s">
        <v>13</v>
      </c>
      <c r="N257" s="139" t="s">
        <v>206</v>
      </c>
      <c r="O257" s="139" t="s">
        <v>37</v>
      </c>
      <c r="P257" s="199">
        <f>ROUNDDOWN(J257*10^3,0)</f>
        <v>34419</v>
      </c>
      <c r="Q257" s="131" t="s">
        <v>208</v>
      </c>
      <c r="R257" s="9"/>
    </row>
    <row r="258" spans="1:18" ht="3.75" customHeight="1">
      <c r="A258" s="130"/>
      <c r="B258" s="138"/>
      <c r="C258" s="131"/>
      <c r="D258" s="131"/>
      <c r="E258" s="134"/>
      <c r="F258" s="80"/>
      <c r="G258" s="139"/>
      <c r="H258" s="80"/>
      <c r="I258" s="139"/>
      <c r="J258" s="93"/>
      <c r="K258" s="80"/>
      <c r="L258" s="80"/>
      <c r="M258" s="139"/>
      <c r="N258" s="139"/>
      <c r="O258" s="139"/>
      <c r="P258" s="199"/>
      <c r="Q258" s="131"/>
      <c r="R258" s="9"/>
    </row>
    <row r="259" spans="1:18" ht="14.25" thickBot="1">
      <c r="A259" s="130"/>
      <c r="B259" s="138" t="s">
        <v>243</v>
      </c>
      <c r="C259" s="131"/>
      <c r="D259" s="131"/>
      <c r="E259" s="132"/>
      <c r="F259" s="80"/>
      <c r="G259" s="139" t="s">
        <v>50</v>
      </c>
      <c r="H259" s="139" t="s">
        <v>236</v>
      </c>
      <c r="I259" s="139" t="s">
        <v>237</v>
      </c>
      <c r="J259" s="139" t="s">
        <v>238</v>
      </c>
      <c r="K259" s="80"/>
      <c r="L259" s="80"/>
      <c r="M259" s="80"/>
      <c r="N259" s="80"/>
      <c r="O259" s="80"/>
      <c r="P259" s="93"/>
      <c r="Q259" s="131"/>
      <c r="R259" s="9"/>
    </row>
    <row r="260" spans="1:18" ht="14.25" thickBot="1">
      <c r="A260" s="130"/>
      <c r="B260" s="138"/>
      <c r="C260" s="131"/>
      <c r="D260" s="131"/>
      <c r="E260" s="132"/>
      <c r="F260" s="134" t="s">
        <v>232</v>
      </c>
      <c r="G260" s="218" t="s">
        <v>390</v>
      </c>
      <c r="H260" s="149">
        <f>VLOOKUP(G260,$G$185:$J$189,2,FALSE)</f>
        <v>1.3</v>
      </c>
      <c r="I260" s="135">
        <f>VLOOKUP(G260,$G$185:$J$189,3,FALSE)</f>
        <v>1.267</v>
      </c>
      <c r="J260" s="201">
        <f>VLOOKUP(G260,$G$185:$J$189,4,FALSE)</f>
        <v>4</v>
      </c>
      <c r="K260" s="80"/>
      <c r="L260" s="80"/>
      <c r="M260" s="80"/>
      <c r="N260" s="80"/>
      <c r="O260" s="80"/>
      <c r="P260" s="93"/>
      <c r="Q260" s="131"/>
      <c r="R260" s="9"/>
    </row>
    <row r="261" spans="1:18" ht="13.5">
      <c r="A261" s="130"/>
      <c r="B261" s="130"/>
      <c r="C261" s="131"/>
      <c r="D261" s="131"/>
      <c r="E261" s="132" t="s">
        <v>239</v>
      </c>
      <c r="F261" s="202">
        <f>$F$14*100</f>
        <v>30</v>
      </c>
      <c r="G261" s="80" t="s">
        <v>209</v>
      </c>
      <c r="H261" s="80"/>
      <c r="I261" s="80"/>
      <c r="J261" s="93"/>
      <c r="K261" s="80"/>
      <c r="L261" s="80"/>
      <c r="M261" s="80"/>
      <c r="N261" s="80"/>
      <c r="O261" s="80"/>
      <c r="P261" s="93"/>
      <c r="Q261" s="131"/>
      <c r="R261" s="9"/>
    </row>
    <row r="262" spans="1:18" ht="13.5">
      <c r="A262" s="130"/>
      <c r="B262" s="130"/>
      <c r="C262" s="131"/>
      <c r="D262" s="131"/>
      <c r="E262" s="134" t="s">
        <v>242</v>
      </c>
      <c r="F262" s="149">
        <f>F261-$F$176-(0.5*H260)</f>
        <v>23.35</v>
      </c>
      <c r="G262" s="80" t="s">
        <v>209</v>
      </c>
      <c r="H262" s="80"/>
      <c r="I262" s="80"/>
      <c r="J262" s="93"/>
      <c r="K262" s="80"/>
      <c r="L262" s="80"/>
      <c r="M262" s="80"/>
      <c r="N262" s="80"/>
      <c r="O262" s="80"/>
      <c r="P262" s="93"/>
      <c r="Q262" s="131"/>
      <c r="R262" s="9"/>
    </row>
    <row r="263" spans="1:18" ht="13.5">
      <c r="A263" s="130"/>
      <c r="B263" s="130"/>
      <c r="C263" s="131"/>
      <c r="D263" s="131"/>
      <c r="E263" s="134" t="s">
        <v>262</v>
      </c>
      <c r="F263" s="135">
        <f>7/8*F262</f>
        <v>20.431250000000002</v>
      </c>
      <c r="G263" s="80" t="s">
        <v>209</v>
      </c>
      <c r="H263" s="80"/>
      <c r="I263" s="80"/>
      <c r="J263" s="93"/>
      <c r="K263" s="80"/>
      <c r="L263" s="80"/>
      <c r="M263" s="80"/>
      <c r="N263" s="80"/>
      <c r="O263" s="80"/>
      <c r="P263" s="93"/>
      <c r="Q263" s="131"/>
      <c r="R263" s="9"/>
    </row>
    <row r="264" spans="1:18" ht="13.5">
      <c r="A264" s="130"/>
      <c r="B264" s="130"/>
      <c r="C264" s="131"/>
      <c r="D264" s="132" t="s">
        <v>247</v>
      </c>
      <c r="E264" s="134" t="s">
        <v>375</v>
      </c>
      <c r="F264" s="203">
        <f>P256</f>
        <v>3303455</v>
      </c>
      <c r="G264" s="139" t="s">
        <v>43</v>
      </c>
      <c r="H264" s="202">
        <f>$H$183*F263</f>
        <v>398409.37500000006</v>
      </c>
      <c r="I264" s="139" t="s">
        <v>37</v>
      </c>
      <c r="J264" s="135">
        <f>F264/H264</f>
        <v>8.29160960381517</v>
      </c>
      <c r="K264" s="80" t="s">
        <v>246</v>
      </c>
      <c r="L264" s="80"/>
      <c r="M264" s="80"/>
      <c r="N264" s="80"/>
      <c r="O264" s="80"/>
      <c r="P264" s="148"/>
      <c r="Q264" s="131"/>
      <c r="R264" s="9"/>
    </row>
    <row r="265" spans="1:18" ht="13.5">
      <c r="A265" s="130"/>
      <c r="B265" s="130"/>
      <c r="C265" s="131"/>
      <c r="D265" s="132" t="s">
        <v>248</v>
      </c>
      <c r="E265" s="134" t="s">
        <v>249</v>
      </c>
      <c r="F265" s="203">
        <f>P257</f>
        <v>34419</v>
      </c>
      <c r="G265" s="139" t="s">
        <v>43</v>
      </c>
      <c r="H265" s="80">
        <f>$H$181*F263</f>
        <v>3146.4125000000004</v>
      </c>
      <c r="I265" s="139" t="s">
        <v>37</v>
      </c>
      <c r="J265" s="148">
        <f>F265/H265</f>
        <v>10.93912511471398</v>
      </c>
      <c r="K265" s="80" t="s">
        <v>252</v>
      </c>
      <c r="L265" s="80"/>
      <c r="M265" s="80"/>
      <c r="N265" s="80"/>
      <c r="O265" s="80"/>
      <c r="P265" s="93"/>
      <c r="Q265" s="131"/>
      <c r="R265" s="9"/>
    </row>
    <row r="266" spans="1:18" ht="13.5">
      <c r="A266" s="130"/>
      <c r="B266" s="130"/>
      <c r="C266" s="131"/>
      <c r="D266" s="132" t="s">
        <v>254</v>
      </c>
      <c r="E266" s="132" t="s">
        <v>253</v>
      </c>
      <c r="F266" s="80">
        <f>J264/I260</f>
        <v>6.544285401590505</v>
      </c>
      <c r="G266" s="80" t="s">
        <v>257</v>
      </c>
      <c r="H266" s="203">
        <f>ROUNDDOWN(1000/F266,0)</f>
        <v>152</v>
      </c>
      <c r="I266" s="80" t="s">
        <v>258</v>
      </c>
      <c r="J266" s="93"/>
      <c r="K266" s="80"/>
      <c r="L266" s="80"/>
      <c r="M266" s="80"/>
      <c r="N266" s="80"/>
      <c r="O266" s="80"/>
      <c r="P266" s="93"/>
      <c r="Q266" s="131"/>
      <c r="R266" s="9"/>
    </row>
    <row r="267" spans="1:18" ht="13.5">
      <c r="A267" s="130"/>
      <c r="B267" s="138"/>
      <c r="C267" s="131"/>
      <c r="D267" s="132" t="s">
        <v>255</v>
      </c>
      <c r="E267" s="132" t="s">
        <v>256</v>
      </c>
      <c r="F267" s="80">
        <f>J265/J260</f>
        <v>2.734781278678495</v>
      </c>
      <c r="G267" s="80" t="s">
        <v>257</v>
      </c>
      <c r="H267" s="203">
        <f>ROUNDDOWN(1000/F267,0)</f>
        <v>365</v>
      </c>
      <c r="I267" s="80" t="s">
        <v>258</v>
      </c>
      <c r="J267" s="93"/>
      <c r="K267" s="80"/>
      <c r="L267" s="80"/>
      <c r="M267" s="80"/>
      <c r="N267" s="80"/>
      <c r="O267" s="80"/>
      <c r="P267" s="93"/>
      <c r="Q267" s="131"/>
      <c r="R267" s="9"/>
    </row>
    <row r="268" spans="1:18" ht="12" customHeight="1">
      <c r="A268" s="130"/>
      <c r="B268" s="138"/>
      <c r="C268" s="131"/>
      <c r="D268" s="131"/>
      <c r="E268" s="132"/>
      <c r="F268" s="80"/>
      <c r="G268" s="80"/>
      <c r="H268" s="154">
        <f>MIN(H266:H267)</f>
        <v>152</v>
      </c>
      <c r="I268" s="135" t="s">
        <v>258</v>
      </c>
      <c r="J268" s="93"/>
      <c r="K268" s="80"/>
      <c r="L268" s="80"/>
      <c r="M268" s="80"/>
      <c r="N268" s="80"/>
      <c r="O268" s="80"/>
      <c r="P268" s="93"/>
      <c r="Q268" s="131"/>
      <c r="R268" s="9"/>
    </row>
    <row r="269" spans="1:18" ht="2.25" customHeight="1" thickBot="1">
      <c r="A269" s="130"/>
      <c r="B269" s="130"/>
      <c r="C269" s="131"/>
      <c r="D269" s="131"/>
      <c r="E269" s="132"/>
      <c r="F269" s="80"/>
      <c r="G269" s="80"/>
      <c r="H269" s="80"/>
      <c r="I269" s="80"/>
      <c r="J269" s="93"/>
      <c r="K269" s="80"/>
      <c r="L269" s="80"/>
      <c r="M269" s="80"/>
      <c r="N269" s="80"/>
      <c r="O269" s="80"/>
      <c r="P269" s="93"/>
      <c r="Q269" s="131"/>
      <c r="R269" s="9"/>
    </row>
    <row r="270" spans="1:18" ht="14.25" thickBot="1">
      <c r="A270" s="130"/>
      <c r="B270" s="138" t="s">
        <v>259</v>
      </c>
      <c r="C270" s="131"/>
      <c r="D270" s="133"/>
      <c r="E270" s="134" t="s">
        <v>260</v>
      </c>
      <c r="F270" s="80"/>
      <c r="G270" s="204" t="str">
        <f>G260</f>
        <v>D13</v>
      </c>
      <c r="H270" s="205">
        <v>150</v>
      </c>
      <c r="I270" s="135" t="s">
        <v>370</v>
      </c>
      <c r="J270" s="93"/>
      <c r="K270" s="80"/>
      <c r="L270" s="80"/>
      <c r="M270" s="80"/>
      <c r="N270" s="80"/>
      <c r="O270" s="80"/>
      <c r="P270" s="93"/>
      <c r="Q270" s="131"/>
      <c r="R270" s="9"/>
    </row>
    <row r="271" spans="1:18" ht="3" customHeight="1">
      <c r="A271" s="130"/>
      <c r="B271" s="130"/>
      <c r="C271" s="131"/>
      <c r="D271" s="131"/>
      <c r="E271" s="132"/>
      <c r="F271" s="80"/>
      <c r="G271" s="80"/>
      <c r="H271" s="80"/>
      <c r="I271" s="80"/>
      <c r="J271" s="93"/>
      <c r="K271" s="80"/>
      <c r="L271" s="80"/>
      <c r="M271" s="80"/>
      <c r="N271" s="80"/>
      <c r="O271" s="80"/>
      <c r="P271" s="93"/>
      <c r="Q271" s="131"/>
      <c r="R271" s="9"/>
    </row>
    <row r="272" spans="1:18" ht="13.5">
      <c r="A272" s="130"/>
      <c r="B272" s="138" t="s">
        <v>261</v>
      </c>
      <c r="C272" s="131"/>
      <c r="D272" s="131"/>
      <c r="E272" s="132"/>
      <c r="F272" s="80"/>
      <c r="G272" s="80"/>
      <c r="H272" s="80"/>
      <c r="I272" s="80"/>
      <c r="J272" s="93"/>
      <c r="K272" s="80"/>
      <c r="L272" s="80"/>
      <c r="M272" s="80"/>
      <c r="N272" s="80"/>
      <c r="O272" s="80"/>
      <c r="P272" s="93"/>
      <c r="Q272" s="131"/>
      <c r="R272" s="9"/>
    </row>
    <row r="273" spans="1:18" ht="9" customHeight="1">
      <c r="A273" s="130"/>
      <c r="B273" s="130"/>
      <c r="C273" s="219" t="s">
        <v>367</v>
      </c>
      <c r="D273" s="207" t="s">
        <v>263</v>
      </c>
      <c r="E273" s="220">
        <v>15</v>
      </c>
      <c r="F273" s="80"/>
      <c r="G273" s="80"/>
      <c r="H273" s="80"/>
      <c r="I273" s="80"/>
      <c r="J273" s="93"/>
      <c r="K273" s="80"/>
      <c r="L273" s="80"/>
      <c r="M273" s="80"/>
      <c r="N273" s="80"/>
      <c r="O273" s="80"/>
      <c r="P273" s="93"/>
      <c r="Q273" s="131"/>
      <c r="R273" s="9"/>
    </row>
    <row r="274" spans="1:18" ht="11.25" customHeight="1">
      <c r="A274" s="130"/>
      <c r="B274" s="130"/>
      <c r="C274" s="219"/>
      <c r="D274" s="209" t="s">
        <v>264</v>
      </c>
      <c r="E274" s="220"/>
      <c r="F274" s="80"/>
      <c r="G274" s="80"/>
      <c r="H274" s="80"/>
      <c r="I274" s="80"/>
      <c r="J274" s="93"/>
      <c r="K274" s="80"/>
      <c r="L274" s="80"/>
      <c r="M274" s="80"/>
      <c r="N274" s="80"/>
      <c r="O274" s="80"/>
      <c r="P274" s="93"/>
      <c r="Q274" s="131"/>
      <c r="R274" s="9"/>
    </row>
    <row r="275" spans="1:18" ht="13.5">
      <c r="A275" s="130"/>
      <c r="B275" s="130"/>
      <c r="C275" s="210" t="s">
        <v>289</v>
      </c>
      <c r="D275" s="211">
        <v>100</v>
      </c>
      <c r="E275" s="212" t="s">
        <v>209</v>
      </c>
      <c r="F275" s="80"/>
      <c r="G275" s="80"/>
      <c r="H275" s="80"/>
      <c r="I275" s="80"/>
      <c r="J275" s="93"/>
      <c r="K275" s="80"/>
      <c r="L275" s="80"/>
      <c r="M275" s="80"/>
      <c r="N275" s="80"/>
      <c r="O275" s="80"/>
      <c r="P275" s="93"/>
      <c r="Q275" s="131"/>
      <c r="R275" s="9"/>
    </row>
    <row r="276" spans="1:18" ht="13.5">
      <c r="A276" s="130"/>
      <c r="B276" s="130"/>
      <c r="C276" s="131"/>
      <c r="D276" s="132" t="s">
        <v>266</v>
      </c>
      <c r="E276" s="14"/>
      <c r="F276" s="134" t="s">
        <v>270</v>
      </c>
      <c r="G276" s="139"/>
      <c r="H276" s="80">
        <f>1000/H270</f>
        <v>6.666666666666667</v>
      </c>
      <c r="I276" s="139" t="s">
        <v>13</v>
      </c>
      <c r="J276" s="197">
        <f>I260*100</f>
        <v>126.69999999999999</v>
      </c>
      <c r="K276" s="139" t="s">
        <v>37</v>
      </c>
      <c r="L276" s="213">
        <f>H276*J276</f>
        <v>844.6666666666666</v>
      </c>
      <c r="M276" s="80"/>
      <c r="N276" s="80"/>
      <c r="O276" s="80"/>
      <c r="P276" s="93"/>
      <c r="Q276" s="131"/>
      <c r="R276" s="9"/>
    </row>
    <row r="277" spans="1:18" ht="13.5">
      <c r="A277" s="130"/>
      <c r="B277" s="130"/>
      <c r="C277" s="131"/>
      <c r="D277" s="131"/>
      <c r="E277" s="14"/>
      <c r="F277" s="134" t="s">
        <v>271</v>
      </c>
      <c r="G277" s="139"/>
      <c r="H277" s="80">
        <f>L276</f>
        <v>844.6666666666666</v>
      </c>
      <c r="I277" s="139" t="s">
        <v>43</v>
      </c>
      <c r="J277" s="214">
        <f>D275*F262*100</f>
        <v>233500</v>
      </c>
      <c r="K277" s="139" t="s">
        <v>37</v>
      </c>
      <c r="L277" s="135">
        <f>H277/J277</f>
        <v>0.003617416131334761</v>
      </c>
      <c r="M277" s="80"/>
      <c r="N277" s="80"/>
      <c r="O277" s="80"/>
      <c r="P277" s="93"/>
      <c r="Q277" s="131"/>
      <c r="R277" s="9"/>
    </row>
    <row r="278" spans="1:18" ht="13.5">
      <c r="A278" s="130"/>
      <c r="B278" s="130"/>
      <c r="C278" s="131"/>
      <c r="D278" s="131"/>
      <c r="E278" s="14"/>
      <c r="F278" s="134" t="s">
        <v>273</v>
      </c>
      <c r="G278" s="80" t="s">
        <v>275</v>
      </c>
      <c r="H278" s="80">
        <f>2*E273*L277</f>
        <v>0.10852248394004282</v>
      </c>
      <c r="I278" s="139" t="s">
        <v>31</v>
      </c>
      <c r="J278" s="93">
        <f>E273*L277*E273*L277</f>
        <v>0.002944282380129213</v>
      </c>
      <c r="K278" s="139" t="s">
        <v>276</v>
      </c>
      <c r="L278" s="80">
        <f>E273*L277</f>
        <v>0.05426124197002141</v>
      </c>
      <c r="M278" s="139" t="s">
        <v>37</v>
      </c>
      <c r="N278" s="135">
        <f>SQRT(H278+J278)-L278</f>
        <v>0.27960514795291175</v>
      </c>
      <c r="O278" s="80"/>
      <c r="P278" s="93"/>
      <c r="Q278" s="131"/>
      <c r="R278" s="9"/>
    </row>
    <row r="279" spans="1:18" ht="13.5">
      <c r="A279" s="130"/>
      <c r="B279" s="130"/>
      <c r="C279" s="131"/>
      <c r="D279" s="131"/>
      <c r="E279" s="14"/>
      <c r="F279" s="134" t="s">
        <v>277</v>
      </c>
      <c r="G279" s="80"/>
      <c r="H279" s="80">
        <v>1</v>
      </c>
      <c r="I279" s="139" t="s">
        <v>274</v>
      </c>
      <c r="J279" s="93">
        <f>N278/3</f>
        <v>0.09320171598430392</v>
      </c>
      <c r="K279" s="139" t="s">
        <v>37</v>
      </c>
      <c r="L279" s="135">
        <f>H279-J279</f>
        <v>0.9067982840156961</v>
      </c>
      <c r="M279" s="80"/>
      <c r="N279" s="80"/>
      <c r="O279" s="80"/>
      <c r="P279" s="93"/>
      <c r="Q279" s="131"/>
      <c r="R279" s="9"/>
    </row>
    <row r="280" spans="1:18" ht="7.5" customHeight="1">
      <c r="A280" s="130"/>
      <c r="B280" s="130"/>
      <c r="C280" s="131"/>
      <c r="D280" s="131"/>
      <c r="E280" s="132"/>
      <c r="F280" s="80"/>
      <c r="G280" s="80"/>
      <c r="H280" s="80"/>
      <c r="I280" s="80"/>
      <c r="J280" s="93"/>
      <c r="K280" s="80"/>
      <c r="L280" s="80"/>
      <c r="M280" s="80"/>
      <c r="N280" s="80"/>
      <c r="O280" s="80"/>
      <c r="P280" s="93"/>
      <c r="Q280" s="131"/>
      <c r="R280" s="9"/>
    </row>
    <row r="281" spans="1:18" ht="13.5">
      <c r="A281" s="130"/>
      <c r="B281" s="130"/>
      <c r="C281" s="133" t="s">
        <v>278</v>
      </c>
      <c r="D281" s="131"/>
      <c r="E281" s="132"/>
      <c r="F281" s="80"/>
      <c r="G281" s="80"/>
      <c r="H281" s="80"/>
      <c r="I281" s="80"/>
      <c r="J281" s="93"/>
      <c r="K281" s="80"/>
      <c r="L281" s="80"/>
      <c r="M281" s="80"/>
      <c r="N281" s="80"/>
      <c r="O281" s="80"/>
      <c r="P281" s="93"/>
      <c r="Q281" s="131"/>
      <c r="R281" s="9"/>
    </row>
    <row r="282" spans="1:18" ht="17.25" customHeight="1">
      <c r="A282" s="130"/>
      <c r="B282" s="130"/>
      <c r="C282" s="131"/>
      <c r="D282" s="131"/>
      <c r="E282" s="134" t="s">
        <v>279</v>
      </c>
      <c r="F282" s="215">
        <f>2*P256*10</f>
        <v>66069100</v>
      </c>
      <c r="G282" s="93" t="s">
        <v>280</v>
      </c>
      <c r="H282" s="80">
        <f>N278</f>
        <v>0.27960514795291175</v>
      </c>
      <c r="I282" s="139" t="s">
        <v>13</v>
      </c>
      <c r="J282" s="80">
        <f>L279</f>
        <v>0.9067982840156961</v>
      </c>
      <c r="K282" s="139" t="s">
        <v>13</v>
      </c>
      <c r="L282" s="215">
        <f>D275*10</f>
        <v>1000</v>
      </c>
      <c r="M282" s="139" t="s">
        <v>13</v>
      </c>
      <c r="N282" s="203">
        <f>POWER(F262*10,2)</f>
        <v>54522.25</v>
      </c>
      <c r="O282" s="139" t="s">
        <v>37</v>
      </c>
      <c r="P282" s="148">
        <f>F282/(H282*J282*L282*N282)</f>
        <v>4.779349256568016</v>
      </c>
      <c r="Q282" s="131" t="s">
        <v>216</v>
      </c>
      <c r="R282" s="9"/>
    </row>
    <row r="283" spans="1:18" ht="18" customHeight="1">
      <c r="A283" s="130"/>
      <c r="B283" s="130"/>
      <c r="C283" s="131"/>
      <c r="D283" s="131"/>
      <c r="E283" s="132"/>
      <c r="F283" s="80"/>
      <c r="G283" s="80"/>
      <c r="H283" s="80"/>
      <c r="I283" s="80"/>
      <c r="J283" s="93"/>
      <c r="K283" s="80"/>
      <c r="L283" s="80"/>
      <c r="M283" s="80"/>
      <c r="N283" s="148" t="s">
        <v>282</v>
      </c>
      <c r="O283" s="139" t="s">
        <v>37</v>
      </c>
      <c r="P283" s="216">
        <f>$F$179</f>
        <v>8</v>
      </c>
      <c r="Q283" s="131" t="s">
        <v>216</v>
      </c>
      <c r="R283" s="9"/>
    </row>
    <row r="284" spans="1:18" ht="13.5">
      <c r="A284" s="130"/>
      <c r="B284" s="130"/>
      <c r="C284" s="131"/>
      <c r="D284" s="131"/>
      <c r="E284" s="142"/>
      <c r="F284" s="142"/>
      <c r="G284" s="80"/>
      <c r="H284" s="80"/>
      <c r="I284" s="80"/>
      <c r="J284" s="93"/>
      <c r="K284" s="80"/>
      <c r="L284" s="80"/>
      <c r="M284" s="80"/>
      <c r="N284" s="148" t="s">
        <v>287</v>
      </c>
      <c r="O284" s="80"/>
      <c r="P284" s="147" t="str">
        <f>IF(P283&gt;P282,"OK","NG")</f>
        <v>OK</v>
      </c>
      <c r="Q284" s="131"/>
      <c r="R284" s="9"/>
    </row>
    <row r="285" spans="1:18" ht="6" customHeight="1">
      <c r="A285" s="130"/>
      <c r="B285" s="130"/>
      <c r="C285" s="131"/>
      <c r="D285" s="131"/>
      <c r="E285" s="132"/>
      <c r="F285" s="80"/>
      <c r="G285" s="80"/>
      <c r="H285" s="80"/>
      <c r="I285" s="80"/>
      <c r="J285" s="93"/>
      <c r="K285" s="80"/>
      <c r="L285" s="80"/>
      <c r="M285" s="80"/>
      <c r="N285" s="80"/>
      <c r="O285" s="80"/>
      <c r="P285" s="93"/>
      <c r="Q285" s="131"/>
      <c r="R285" s="9"/>
    </row>
    <row r="286" spans="1:18" ht="13.5">
      <c r="A286" s="130"/>
      <c r="B286" s="130"/>
      <c r="C286" s="133" t="s">
        <v>283</v>
      </c>
      <c r="D286" s="131"/>
      <c r="E286" s="132"/>
      <c r="F286" s="80"/>
      <c r="G286" s="80"/>
      <c r="H286" s="80"/>
      <c r="I286" s="80"/>
      <c r="J286" s="93"/>
      <c r="K286" s="80"/>
      <c r="L286" s="80"/>
      <c r="M286" s="80"/>
      <c r="N286" s="80"/>
      <c r="O286" s="80"/>
      <c r="P286" s="93"/>
      <c r="Q286" s="131"/>
      <c r="R286" s="9"/>
    </row>
    <row r="287" spans="1:18" ht="13.5">
      <c r="A287" s="130"/>
      <c r="B287" s="130"/>
      <c r="C287" s="131"/>
      <c r="D287" s="131"/>
      <c r="E287" s="134" t="s">
        <v>284</v>
      </c>
      <c r="F287" s="203">
        <f>P256*10</f>
        <v>33034550</v>
      </c>
      <c r="G287" s="93" t="s">
        <v>280</v>
      </c>
      <c r="H287" s="80">
        <f>L276</f>
        <v>844.6666666666666</v>
      </c>
      <c r="I287" s="139" t="s">
        <v>13</v>
      </c>
      <c r="J287" s="93">
        <f>L279</f>
        <v>0.9067982840156961</v>
      </c>
      <c r="K287" s="139" t="s">
        <v>13</v>
      </c>
      <c r="L287" s="202">
        <f>F262*10</f>
        <v>233.5</v>
      </c>
      <c r="M287" s="80" t="s">
        <v>285</v>
      </c>
      <c r="N287" s="194">
        <f>F287/(H287*J287*L287)</f>
        <v>184.70789749979042</v>
      </c>
      <c r="O287" s="131" t="s">
        <v>216</v>
      </c>
      <c r="P287" s="93"/>
      <c r="Q287" s="131"/>
      <c r="R287" s="9"/>
    </row>
    <row r="288" spans="1:18" ht="13.5">
      <c r="A288" s="130"/>
      <c r="B288" s="130"/>
      <c r="C288" s="131"/>
      <c r="D288" s="131"/>
      <c r="E288" s="132"/>
      <c r="F288" s="80"/>
      <c r="G288" s="80"/>
      <c r="H288" s="80"/>
      <c r="I288" s="80"/>
      <c r="J288" s="93"/>
      <c r="K288" s="80"/>
      <c r="L288" s="148" t="s">
        <v>286</v>
      </c>
      <c r="M288" s="139" t="s">
        <v>37</v>
      </c>
      <c r="N288" s="136">
        <f>$F$183</f>
        <v>195</v>
      </c>
      <c r="O288" s="131" t="s">
        <v>216</v>
      </c>
      <c r="P288" s="93"/>
      <c r="Q288" s="131"/>
      <c r="R288" s="9"/>
    </row>
    <row r="289" spans="1:18" ht="13.5">
      <c r="A289" s="130"/>
      <c r="B289" s="130"/>
      <c r="C289" s="131"/>
      <c r="D289" s="131"/>
      <c r="E289" s="132"/>
      <c r="F289" s="80"/>
      <c r="G289" s="80"/>
      <c r="H289" s="80"/>
      <c r="I289" s="80"/>
      <c r="J289" s="93"/>
      <c r="K289" s="80"/>
      <c r="L289" s="80"/>
      <c r="M289" s="80"/>
      <c r="N289" s="148" t="s">
        <v>288</v>
      </c>
      <c r="O289" s="80"/>
      <c r="P289" s="147" t="str">
        <f>IF(N288&gt;N287,"OK","NG")</f>
        <v>OK</v>
      </c>
      <c r="Q289" s="131"/>
      <c r="R289" s="9"/>
    </row>
    <row r="290" spans="1:18" ht="13.5">
      <c r="A290" s="130"/>
      <c r="B290" s="130"/>
      <c r="C290" s="133" t="s">
        <v>290</v>
      </c>
      <c r="D290" s="131"/>
      <c r="E290" s="132"/>
      <c r="F290" s="80"/>
      <c r="G290" s="80"/>
      <c r="H290" s="80"/>
      <c r="I290" s="80"/>
      <c r="J290" s="93"/>
      <c r="K290" s="80"/>
      <c r="L290" s="80"/>
      <c r="M290" s="80"/>
      <c r="N290" s="80"/>
      <c r="O290" s="80"/>
      <c r="P290" s="93"/>
      <c r="Q290" s="131"/>
      <c r="R290" s="9"/>
    </row>
    <row r="291" spans="1:18" ht="13.5">
      <c r="A291" s="130"/>
      <c r="B291" s="130"/>
      <c r="C291" s="131"/>
      <c r="D291" s="131"/>
      <c r="E291" s="134" t="s">
        <v>291</v>
      </c>
      <c r="F291" s="203">
        <f>P257</f>
        <v>34419</v>
      </c>
      <c r="G291" s="93" t="s">
        <v>280</v>
      </c>
      <c r="H291" s="202">
        <f>D275*10</f>
        <v>1000</v>
      </c>
      <c r="I291" s="139" t="s">
        <v>13</v>
      </c>
      <c r="J291" s="217">
        <f>F262*10</f>
        <v>233.5</v>
      </c>
      <c r="K291" s="80" t="s">
        <v>285</v>
      </c>
      <c r="L291" s="135">
        <f>F291/(H291*J291)</f>
        <v>0.14740471092077087</v>
      </c>
      <c r="M291" s="131" t="s">
        <v>216</v>
      </c>
      <c r="N291" s="80"/>
      <c r="O291" s="80"/>
      <c r="P291" s="93"/>
      <c r="Q291" s="131"/>
      <c r="R291" s="9"/>
    </row>
    <row r="292" spans="1:18" ht="13.5">
      <c r="A292" s="130"/>
      <c r="B292" s="130"/>
      <c r="C292" s="131"/>
      <c r="D292" s="131"/>
      <c r="E292" s="132"/>
      <c r="F292" s="80"/>
      <c r="G292" s="80"/>
      <c r="H292" s="80"/>
      <c r="I292" s="80"/>
      <c r="J292" s="148" t="s">
        <v>292</v>
      </c>
      <c r="K292" s="139" t="s">
        <v>37</v>
      </c>
      <c r="L292" s="216">
        <f>$F$180</f>
        <v>0.73</v>
      </c>
      <c r="M292" s="131" t="s">
        <v>216</v>
      </c>
      <c r="N292" s="80"/>
      <c r="O292" s="80"/>
      <c r="P292" s="93"/>
      <c r="Q292" s="131"/>
      <c r="R292" s="9"/>
    </row>
    <row r="293" spans="1:18" ht="13.5">
      <c r="A293" s="130"/>
      <c r="B293" s="130"/>
      <c r="C293" s="131"/>
      <c r="D293" s="131"/>
      <c r="E293" s="132"/>
      <c r="F293" s="80"/>
      <c r="G293" s="80"/>
      <c r="H293" s="80"/>
      <c r="I293" s="80"/>
      <c r="J293" s="93"/>
      <c r="K293" s="80"/>
      <c r="L293" s="135"/>
      <c r="M293" s="80"/>
      <c r="N293" s="148" t="s">
        <v>293</v>
      </c>
      <c r="O293" s="80"/>
      <c r="P293" s="147" t="str">
        <f>IF(L292&gt;L291,"OK","NG")</f>
        <v>OK</v>
      </c>
      <c r="Q293" s="131"/>
      <c r="R293" s="9"/>
    </row>
    <row r="294" spans="1:18" ht="13.5" customHeight="1">
      <c r="A294" s="130"/>
      <c r="B294" s="130"/>
      <c r="C294" s="131"/>
      <c r="D294" s="131"/>
      <c r="E294" s="132"/>
      <c r="F294" s="80"/>
      <c r="G294" s="80"/>
      <c r="H294" s="80"/>
      <c r="I294" s="80"/>
      <c r="J294" s="93"/>
      <c r="K294" s="80"/>
      <c r="L294" s="80"/>
      <c r="M294" s="80"/>
      <c r="N294" s="80"/>
      <c r="O294" s="80"/>
      <c r="P294" s="93"/>
      <c r="Q294" s="131"/>
      <c r="R294" s="9"/>
    </row>
    <row r="295" spans="1:18" ht="16.5" customHeight="1">
      <c r="A295" s="138" t="s">
        <v>302</v>
      </c>
      <c r="B295" s="130"/>
      <c r="C295" s="131"/>
      <c r="D295" s="131"/>
      <c r="E295" s="132"/>
      <c r="F295" s="80"/>
      <c r="G295" s="80"/>
      <c r="H295" s="80"/>
      <c r="I295" s="80"/>
      <c r="J295" s="93"/>
      <c r="K295" s="80"/>
      <c r="L295" s="80"/>
      <c r="M295" s="80"/>
      <c r="N295" s="80"/>
      <c r="O295" s="80"/>
      <c r="P295" s="93"/>
      <c r="Q295" s="131"/>
      <c r="R295" s="9"/>
    </row>
    <row r="296" spans="1:18" ht="13.5">
      <c r="A296" s="130"/>
      <c r="B296" s="138" t="s">
        <v>296</v>
      </c>
      <c r="C296" s="131"/>
      <c r="D296" s="131"/>
      <c r="E296" s="132"/>
      <c r="F296" s="134" t="s">
        <v>303</v>
      </c>
      <c r="G296" s="80" t="s">
        <v>304</v>
      </c>
      <c r="H296" s="80">
        <f>$F$13/2</f>
        <v>1.5</v>
      </c>
      <c r="I296" s="139" t="s">
        <v>305</v>
      </c>
      <c r="J296" s="93">
        <v>1</v>
      </c>
      <c r="K296" s="139" t="s">
        <v>306</v>
      </c>
      <c r="L296" s="80">
        <f>$F$13/(6*$J$171)</f>
        <v>1.7538696666805078</v>
      </c>
      <c r="M296" s="80" t="s">
        <v>307</v>
      </c>
      <c r="N296" s="80">
        <f>$H$296*($J$296+$L$296)</f>
        <v>4.130804500020762</v>
      </c>
      <c r="O296" s="139" t="s">
        <v>308</v>
      </c>
      <c r="P296" s="93"/>
      <c r="Q296" s="131"/>
      <c r="R296" s="9"/>
    </row>
    <row r="297" spans="1:18" ht="13.5">
      <c r="A297" s="130"/>
      <c r="B297" s="138"/>
      <c r="C297" s="131"/>
      <c r="D297" s="131"/>
      <c r="E297" s="132"/>
      <c r="F297" s="148" t="s">
        <v>312</v>
      </c>
      <c r="G297" s="80"/>
      <c r="H297" s="80">
        <f>($N$296-0)/$N$296*$J$172</f>
        <v>98.59868666666668</v>
      </c>
      <c r="I297" s="80" t="s">
        <v>309</v>
      </c>
      <c r="J297" s="93"/>
      <c r="K297" s="80"/>
      <c r="L297" s="80"/>
      <c r="M297" s="80"/>
      <c r="N297" s="80"/>
      <c r="O297" s="80"/>
      <c r="P297" s="93"/>
      <c r="Q297" s="131"/>
      <c r="R297" s="9"/>
    </row>
    <row r="298" spans="1:18" ht="13.5">
      <c r="A298" s="130"/>
      <c r="B298" s="130"/>
      <c r="C298" s="131"/>
      <c r="D298" s="131"/>
      <c r="E298" s="132"/>
      <c r="F298" s="148" t="s">
        <v>313</v>
      </c>
      <c r="G298" s="80"/>
      <c r="H298" s="80">
        <f>($N$296-$F$14)/$N$296*$J$172</f>
        <v>91.43794933333335</v>
      </c>
      <c r="I298" s="80" t="s">
        <v>309</v>
      </c>
      <c r="J298" s="93"/>
      <c r="K298" s="80"/>
      <c r="L298" s="80"/>
      <c r="M298" s="80"/>
      <c r="N298" s="80"/>
      <c r="O298" s="80"/>
      <c r="P298" s="93"/>
      <c r="Q298" s="131"/>
      <c r="R298" s="9"/>
    </row>
    <row r="299" spans="1:18" ht="13.5">
      <c r="A299" s="130"/>
      <c r="B299" s="130"/>
      <c r="C299" s="131"/>
      <c r="D299" s="131"/>
      <c r="E299" s="132"/>
      <c r="F299" s="148" t="s">
        <v>314</v>
      </c>
      <c r="G299" s="80"/>
      <c r="H299" s="80">
        <f>($N$296-$F$13)/$N$296*$J$172</f>
        <v>26.99131333333335</v>
      </c>
      <c r="I299" s="80" t="s">
        <v>309</v>
      </c>
      <c r="J299" s="93"/>
      <c r="K299" s="80"/>
      <c r="L299" s="80"/>
      <c r="M299" s="80"/>
      <c r="N299" s="80"/>
      <c r="O299" s="80"/>
      <c r="P299" s="93"/>
      <c r="Q299" s="131"/>
      <c r="R299" s="9"/>
    </row>
    <row r="300" spans="1:18" ht="13.5" customHeight="1">
      <c r="A300" s="130"/>
      <c r="B300" s="130"/>
      <c r="C300" s="131"/>
      <c r="D300" s="131"/>
      <c r="E300" s="221"/>
      <c r="F300" s="222" t="s">
        <v>315</v>
      </c>
      <c r="G300" s="223"/>
      <c r="H300" s="223">
        <f>($F$12-$F$15)*$F$7+($F$15*$F$8)+$F$48</f>
        <v>62.150000000000006</v>
      </c>
      <c r="I300" s="223" t="s">
        <v>309</v>
      </c>
      <c r="J300" s="93"/>
      <c r="K300" s="80"/>
      <c r="L300" s="80"/>
      <c r="M300" s="80"/>
      <c r="N300" s="80"/>
      <c r="O300" s="80"/>
      <c r="P300" s="93"/>
      <c r="Q300" s="131"/>
      <c r="R300" s="9"/>
    </row>
    <row r="301" spans="1:18" ht="13.5">
      <c r="A301" s="130"/>
      <c r="B301" s="195" t="s">
        <v>297</v>
      </c>
      <c r="C301" s="196"/>
      <c r="D301" s="131"/>
      <c r="E301" s="134"/>
      <c r="F301" s="148" t="s">
        <v>321</v>
      </c>
      <c r="G301" s="80" t="s">
        <v>317</v>
      </c>
      <c r="H301" s="80">
        <f>$H$300</f>
        <v>62.150000000000006</v>
      </c>
      <c r="I301" s="139" t="s">
        <v>316</v>
      </c>
      <c r="J301" s="93">
        <f>POWER(($F$13-$F$14),2)</f>
        <v>7.290000000000001</v>
      </c>
      <c r="K301" s="80" t="s">
        <v>318</v>
      </c>
      <c r="L301" s="203">
        <v>2</v>
      </c>
      <c r="M301" s="139" t="s">
        <v>319</v>
      </c>
      <c r="N301" s="80">
        <f>(H301*J301)/L301</f>
        <v>226.53675000000004</v>
      </c>
      <c r="O301" s="80" t="s">
        <v>309</v>
      </c>
      <c r="P301" s="93"/>
      <c r="Q301" s="131"/>
      <c r="R301" s="9"/>
    </row>
    <row r="302" spans="1:18" ht="13.5">
      <c r="A302" s="130"/>
      <c r="B302" s="138"/>
      <c r="C302" s="131"/>
      <c r="D302" s="131"/>
      <c r="E302" s="132"/>
      <c r="F302" s="134" t="s">
        <v>320</v>
      </c>
      <c r="G302" s="80"/>
      <c r="H302" s="80">
        <f>$H$300</f>
        <v>62.150000000000006</v>
      </c>
      <c r="I302" s="139" t="s">
        <v>316</v>
      </c>
      <c r="J302" s="93">
        <f>($F$13-$F$14)</f>
        <v>2.7</v>
      </c>
      <c r="K302" s="139" t="s">
        <v>319</v>
      </c>
      <c r="L302" s="80">
        <f>H302*J302</f>
        <v>167.80500000000004</v>
      </c>
      <c r="M302" s="80" t="s">
        <v>309</v>
      </c>
      <c r="N302" s="80"/>
      <c r="O302" s="80"/>
      <c r="P302" s="93"/>
      <c r="Q302" s="131"/>
      <c r="R302" s="9"/>
    </row>
    <row r="303" spans="1:18" ht="12.75" customHeight="1">
      <c r="A303" s="130"/>
      <c r="B303" s="130"/>
      <c r="C303" s="131"/>
      <c r="D303" s="131"/>
      <c r="E303" s="132"/>
      <c r="F303" s="148" t="s">
        <v>323</v>
      </c>
      <c r="G303" s="139"/>
      <c r="H303" s="80">
        <f>($H$298+2*$H$299)</f>
        <v>145.42057600000004</v>
      </c>
      <c r="I303" s="139" t="s">
        <v>316</v>
      </c>
      <c r="J303" s="197">
        <f>POWER(($F$13-$F$14),2)/6</f>
        <v>1.215</v>
      </c>
      <c r="K303" s="139" t="s">
        <v>319</v>
      </c>
      <c r="L303" s="198">
        <f>H303*J303</f>
        <v>176.68599984000005</v>
      </c>
      <c r="M303" s="80" t="s">
        <v>309</v>
      </c>
      <c r="N303" s="80"/>
      <c r="O303" s="139"/>
      <c r="P303" s="93"/>
      <c r="Q303" s="131"/>
      <c r="R303" s="9"/>
    </row>
    <row r="304" spans="1:18" ht="13.5">
      <c r="A304" s="130"/>
      <c r="B304" s="130"/>
      <c r="C304" s="131"/>
      <c r="D304" s="131"/>
      <c r="E304" s="132"/>
      <c r="F304" s="148" t="s">
        <v>322</v>
      </c>
      <c r="G304" s="139"/>
      <c r="H304" s="80">
        <f>$H$298+$H$299</f>
        <v>118.4292626666667</v>
      </c>
      <c r="I304" s="139" t="s">
        <v>316</v>
      </c>
      <c r="J304" s="93">
        <f>($F$13-$F$14)/2</f>
        <v>1.35</v>
      </c>
      <c r="K304" s="139" t="s">
        <v>319</v>
      </c>
      <c r="L304" s="80">
        <f>H304*J304</f>
        <v>159.87950460000005</v>
      </c>
      <c r="M304" s="80" t="s">
        <v>309</v>
      </c>
      <c r="N304" s="80"/>
      <c r="O304" s="131"/>
      <c r="P304" s="93"/>
      <c r="Q304" s="131"/>
      <c r="R304" s="9"/>
    </row>
    <row r="305" spans="1:18" ht="13.5">
      <c r="A305" s="130"/>
      <c r="B305" s="130"/>
      <c r="C305" s="131"/>
      <c r="D305" s="131"/>
      <c r="E305" s="132"/>
      <c r="F305" s="134"/>
      <c r="G305" s="139"/>
      <c r="H305" s="80"/>
      <c r="I305" s="139"/>
      <c r="J305" s="93"/>
      <c r="K305" s="180"/>
      <c r="L305" s="80"/>
      <c r="M305" s="139"/>
      <c r="N305" s="134" t="s">
        <v>324</v>
      </c>
      <c r="O305" s="139" t="s">
        <v>37</v>
      </c>
      <c r="P305" s="199">
        <f>ROUNDDOWN((N301-L303)*POWER(10,5),0)</f>
        <v>4985075</v>
      </c>
      <c r="Q305" s="131" t="s">
        <v>207</v>
      </c>
      <c r="R305" s="9"/>
    </row>
    <row r="306" spans="1:18" ht="13.5">
      <c r="A306" s="130"/>
      <c r="B306" s="130"/>
      <c r="C306" s="131"/>
      <c r="D306" s="131"/>
      <c r="E306" s="134"/>
      <c r="F306" s="80"/>
      <c r="G306" s="139"/>
      <c r="H306" s="80"/>
      <c r="I306" s="139"/>
      <c r="J306" s="93"/>
      <c r="K306" s="80"/>
      <c r="L306" s="80"/>
      <c r="M306" s="139"/>
      <c r="N306" s="148" t="s">
        <v>325</v>
      </c>
      <c r="O306" s="139" t="s">
        <v>37</v>
      </c>
      <c r="P306" s="199">
        <f>ROUNDDOWN((L302-L304)*POWER(10,3),0)</f>
        <v>7925</v>
      </c>
      <c r="Q306" s="131" t="s">
        <v>208</v>
      </c>
      <c r="R306" s="9"/>
    </row>
    <row r="307" spans="1:18" ht="5.25" customHeight="1">
      <c r="A307" s="130"/>
      <c r="B307" s="138"/>
      <c r="C307" s="131"/>
      <c r="D307" s="131"/>
      <c r="E307" s="134"/>
      <c r="F307" s="80"/>
      <c r="G307" s="139"/>
      <c r="H307" s="80"/>
      <c r="I307" s="139"/>
      <c r="J307" s="93"/>
      <c r="K307" s="80"/>
      <c r="L307" s="80"/>
      <c r="M307" s="139"/>
      <c r="N307" s="139"/>
      <c r="O307" s="139"/>
      <c r="P307" s="199"/>
      <c r="Q307" s="131"/>
      <c r="R307" s="9"/>
    </row>
    <row r="308" spans="1:18" ht="14.25" thickBot="1">
      <c r="A308" s="130"/>
      <c r="B308" s="138" t="s">
        <v>243</v>
      </c>
      <c r="C308" s="131"/>
      <c r="D308" s="131"/>
      <c r="E308" s="132"/>
      <c r="F308" s="80"/>
      <c r="G308" s="139" t="s">
        <v>50</v>
      </c>
      <c r="H308" s="139" t="s">
        <v>236</v>
      </c>
      <c r="I308" s="139" t="s">
        <v>237</v>
      </c>
      <c r="J308" s="139" t="s">
        <v>238</v>
      </c>
      <c r="K308" s="80"/>
      <c r="L308" s="80"/>
      <c r="M308" s="80"/>
      <c r="N308" s="80"/>
      <c r="O308" s="80"/>
      <c r="P308" s="93"/>
      <c r="Q308" s="131"/>
      <c r="R308" s="9"/>
    </row>
    <row r="309" spans="1:18" ht="14.25" thickBot="1">
      <c r="A309" s="130"/>
      <c r="B309" s="138"/>
      <c r="C309" s="131"/>
      <c r="D309" s="131"/>
      <c r="E309" s="132"/>
      <c r="F309" s="134" t="s">
        <v>232</v>
      </c>
      <c r="G309" s="218" t="s">
        <v>366</v>
      </c>
      <c r="H309" s="149">
        <f>VLOOKUP(G309,$G$185:$J$189,2,FALSE)</f>
        <v>1.6</v>
      </c>
      <c r="I309" s="135">
        <f>VLOOKUP(G309,$G$185:$J$189,3,FALSE)</f>
        <v>1.986</v>
      </c>
      <c r="J309" s="201">
        <f>VLOOKUP(G309,$G$185:$J$189,4,FALSE)</f>
        <v>5</v>
      </c>
      <c r="K309" s="80"/>
      <c r="L309" s="80"/>
      <c r="M309" s="80"/>
      <c r="N309" s="80"/>
      <c r="O309" s="80"/>
      <c r="P309" s="93"/>
      <c r="Q309" s="131"/>
      <c r="R309" s="9"/>
    </row>
    <row r="310" spans="1:18" ht="13.5">
      <c r="A310" s="130"/>
      <c r="B310" s="130"/>
      <c r="C310" s="131"/>
      <c r="D310" s="131"/>
      <c r="E310" s="132" t="s">
        <v>239</v>
      </c>
      <c r="F310" s="202">
        <f>$F$14*100</f>
        <v>30</v>
      </c>
      <c r="G310" s="80" t="s">
        <v>209</v>
      </c>
      <c r="H310" s="80"/>
      <c r="I310" s="80"/>
      <c r="J310" s="93"/>
      <c r="K310" s="80"/>
      <c r="L310" s="80"/>
      <c r="M310" s="80"/>
      <c r="N310" s="80"/>
      <c r="O310" s="80"/>
      <c r="P310" s="93"/>
      <c r="Q310" s="131"/>
      <c r="R310" s="9"/>
    </row>
    <row r="311" spans="1:18" ht="13.5">
      <c r="A311" s="130"/>
      <c r="B311" s="130"/>
      <c r="C311" s="131"/>
      <c r="D311" s="131"/>
      <c r="E311" s="134" t="s">
        <v>242</v>
      </c>
      <c r="F311" s="149">
        <f>F310-$F$176-(0.5*H309)</f>
        <v>23.2</v>
      </c>
      <c r="G311" s="80" t="s">
        <v>209</v>
      </c>
      <c r="H311" s="80"/>
      <c r="I311" s="80"/>
      <c r="J311" s="93"/>
      <c r="K311" s="80"/>
      <c r="L311" s="80"/>
      <c r="M311" s="80"/>
      <c r="N311" s="80"/>
      <c r="O311" s="80"/>
      <c r="P311" s="93"/>
      <c r="Q311" s="131"/>
      <c r="R311" s="9"/>
    </row>
    <row r="312" spans="1:18" ht="13.5">
      <c r="A312" s="130"/>
      <c r="B312" s="130"/>
      <c r="C312" s="131"/>
      <c r="D312" s="131"/>
      <c r="E312" s="134" t="s">
        <v>262</v>
      </c>
      <c r="F312" s="135">
        <f>7/8*F311</f>
        <v>20.3</v>
      </c>
      <c r="G312" s="80" t="s">
        <v>209</v>
      </c>
      <c r="H312" s="80"/>
      <c r="I312" s="80"/>
      <c r="J312" s="93"/>
      <c r="K312" s="80"/>
      <c r="L312" s="80"/>
      <c r="M312" s="80"/>
      <c r="N312" s="80"/>
      <c r="O312" s="80"/>
      <c r="P312" s="93"/>
      <c r="Q312" s="131"/>
      <c r="R312" s="9"/>
    </row>
    <row r="313" spans="1:18" ht="13.5">
      <c r="A313" s="130"/>
      <c r="B313" s="130"/>
      <c r="C313" s="131"/>
      <c r="D313" s="132" t="s">
        <v>247</v>
      </c>
      <c r="E313" s="134" t="s">
        <v>375</v>
      </c>
      <c r="F313" s="203">
        <f>P305</f>
        <v>4985075</v>
      </c>
      <c r="G313" s="139" t="s">
        <v>43</v>
      </c>
      <c r="H313" s="202">
        <f>$H$183*F312</f>
        <v>395850</v>
      </c>
      <c r="I313" s="139" t="s">
        <v>173</v>
      </c>
      <c r="J313" s="135">
        <f>F313/H313</f>
        <v>12.593343438171024</v>
      </c>
      <c r="K313" s="80" t="s">
        <v>246</v>
      </c>
      <c r="L313" s="80"/>
      <c r="M313" s="80"/>
      <c r="N313" s="80"/>
      <c r="O313" s="80"/>
      <c r="P313" s="148"/>
      <c r="Q313" s="131"/>
      <c r="R313" s="9"/>
    </row>
    <row r="314" spans="1:18" ht="13.5">
      <c r="A314" s="130"/>
      <c r="B314" s="130"/>
      <c r="C314" s="131"/>
      <c r="D314" s="132" t="s">
        <v>248</v>
      </c>
      <c r="E314" s="134" t="s">
        <v>249</v>
      </c>
      <c r="F314" s="203">
        <f>P306</f>
        <v>7925</v>
      </c>
      <c r="G314" s="139" t="s">
        <v>43</v>
      </c>
      <c r="H314" s="80">
        <f>$H$181*F312</f>
        <v>3126.2000000000003</v>
      </c>
      <c r="I314" s="139" t="s">
        <v>173</v>
      </c>
      <c r="J314" s="148">
        <f>F314/H314</f>
        <v>2.5350265498048747</v>
      </c>
      <c r="K314" s="80" t="s">
        <v>252</v>
      </c>
      <c r="L314" s="80"/>
      <c r="M314" s="80"/>
      <c r="N314" s="80"/>
      <c r="O314" s="80"/>
      <c r="P314" s="93"/>
      <c r="Q314" s="131"/>
      <c r="R314" s="9"/>
    </row>
    <row r="315" spans="1:18" ht="13.5">
      <c r="A315" s="130"/>
      <c r="B315" s="130"/>
      <c r="C315" s="131"/>
      <c r="D315" s="132" t="s">
        <v>254</v>
      </c>
      <c r="E315" s="132" t="s">
        <v>253</v>
      </c>
      <c r="F315" s="80">
        <f>J313/I309</f>
        <v>6.341059133016628</v>
      </c>
      <c r="G315" s="80" t="s">
        <v>257</v>
      </c>
      <c r="H315" s="203">
        <f>ROUNDDOWN(1000/F315,0)</f>
        <v>157</v>
      </c>
      <c r="I315" s="80" t="s">
        <v>258</v>
      </c>
      <c r="J315" s="93"/>
      <c r="K315" s="80"/>
      <c r="L315" s="80"/>
      <c r="M315" s="80"/>
      <c r="N315" s="80"/>
      <c r="O315" s="80"/>
      <c r="P315" s="93"/>
      <c r="Q315" s="131"/>
      <c r="R315" s="9"/>
    </row>
    <row r="316" spans="1:18" ht="13.5">
      <c r="A316" s="130"/>
      <c r="B316" s="138"/>
      <c r="C316" s="131"/>
      <c r="D316" s="132" t="s">
        <v>255</v>
      </c>
      <c r="E316" s="132" t="s">
        <v>256</v>
      </c>
      <c r="F316" s="80">
        <f>J314/J309</f>
        <v>0.5070053099609749</v>
      </c>
      <c r="G316" s="80" t="s">
        <v>257</v>
      </c>
      <c r="H316" s="203">
        <f>ROUNDDOWN(1000/F316,0)</f>
        <v>1972</v>
      </c>
      <c r="I316" s="80" t="s">
        <v>258</v>
      </c>
      <c r="J316" s="93"/>
      <c r="K316" s="80"/>
      <c r="L316" s="80"/>
      <c r="M316" s="80"/>
      <c r="N316" s="80"/>
      <c r="O316" s="80"/>
      <c r="P316" s="93"/>
      <c r="Q316" s="131"/>
      <c r="R316" s="9"/>
    </row>
    <row r="317" spans="1:18" ht="13.5">
      <c r="A317" s="130"/>
      <c r="B317" s="138"/>
      <c r="C317" s="131"/>
      <c r="D317" s="131"/>
      <c r="E317" s="132"/>
      <c r="F317" s="80"/>
      <c r="G317" s="80"/>
      <c r="H317" s="154">
        <f>MIN(H315:H316)</f>
        <v>157</v>
      </c>
      <c r="I317" s="135" t="s">
        <v>258</v>
      </c>
      <c r="J317" s="93"/>
      <c r="K317" s="80"/>
      <c r="L317" s="80"/>
      <c r="M317" s="80"/>
      <c r="N317" s="80"/>
      <c r="O317" s="80"/>
      <c r="P317" s="93"/>
      <c r="Q317" s="131"/>
      <c r="R317" s="9"/>
    </row>
    <row r="318" spans="1:18" ht="5.25" customHeight="1" thickBot="1">
      <c r="A318" s="130"/>
      <c r="B318" s="130"/>
      <c r="C318" s="131"/>
      <c r="D318" s="131"/>
      <c r="E318" s="132"/>
      <c r="F318" s="80"/>
      <c r="G318" s="80"/>
      <c r="H318" s="80"/>
      <c r="I318" s="80"/>
      <c r="J318" s="93"/>
      <c r="K318" s="80"/>
      <c r="L318" s="80"/>
      <c r="M318" s="80"/>
      <c r="N318" s="80"/>
      <c r="O318" s="80"/>
      <c r="P318" s="93"/>
      <c r="Q318" s="131"/>
      <c r="R318" s="9"/>
    </row>
    <row r="319" spans="1:18" ht="14.25" thickBot="1">
      <c r="A319" s="130"/>
      <c r="B319" s="138" t="s">
        <v>259</v>
      </c>
      <c r="C319" s="131"/>
      <c r="D319" s="133"/>
      <c r="E319" s="134" t="s">
        <v>260</v>
      </c>
      <c r="F319" s="80"/>
      <c r="G319" s="204" t="str">
        <f>G309</f>
        <v>D16</v>
      </c>
      <c r="H319" s="205">
        <v>150</v>
      </c>
      <c r="I319" s="135" t="s">
        <v>370</v>
      </c>
      <c r="J319" s="93"/>
      <c r="K319" s="80"/>
      <c r="L319" s="80"/>
      <c r="M319" s="80"/>
      <c r="N319" s="80"/>
      <c r="O319" s="80"/>
      <c r="P319" s="93"/>
      <c r="Q319" s="131"/>
      <c r="R319" s="9"/>
    </row>
    <row r="320" spans="1:18" ht="5.25" customHeight="1">
      <c r="A320" s="130"/>
      <c r="B320" s="130"/>
      <c r="C320" s="131"/>
      <c r="D320" s="131"/>
      <c r="E320" s="132"/>
      <c r="F320" s="80"/>
      <c r="G320" s="80"/>
      <c r="H320" s="80"/>
      <c r="I320" s="80"/>
      <c r="J320" s="93"/>
      <c r="K320" s="80"/>
      <c r="L320" s="80"/>
      <c r="M320" s="80"/>
      <c r="N320" s="80"/>
      <c r="O320" s="80"/>
      <c r="P320" s="93"/>
      <c r="Q320" s="131"/>
      <c r="R320" s="9"/>
    </row>
    <row r="321" spans="1:18" ht="3.75" customHeight="1">
      <c r="A321" s="130"/>
      <c r="B321" s="138"/>
      <c r="C321" s="131"/>
      <c r="D321" s="131"/>
      <c r="E321" s="132"/>
      <c r="F321" s="80"/>
      <c r="G321" s="80"/>
      <c r="H321" s="80"/>
      <c r="I321" s="80"/>
      <c r="J321" s="93"/>
      <c r="K321" s="80"/>
      <c r="L321" s="80"/>
      <c r="M321" s="80"/>
      <c r="N321" s="80"/>
      <c r="O321" s="80"/>
      <c r="P321" s="93"/>
      <c r="Q321" s="131"/>
      <c r="R321" s="9"/>
    </row>
    <row r="322" spans="1:18" ht="9" customHeight="1">
      <c r="A322" s="224" t="s">
        <v>368</v>
      </c>
      <c r="B322" s="224"/>
      <c r="C322" s="219" t="s">
        <v>367</v>
      </c>
      <c r="D322" s="207" t="s">
        <v>263</v>
      </c>
      <c r="E322" s="208">
        <v>15</v>
      </c>
      <c r="F322" s="80"/>
      <c r="G322" s="80"/>
      <c r="H322" s="80"/>
      <c r="I322" s="80"/>
      <c r="J322" s="93"/>
      <c r="K322" s="80"/>
      <c r="L322" s="80"/>
      <c r="M322" s="80"/>
      <c r="N322" s="80"/>
      <c r="O322" s="80"/>
      <c r="P322" s="93"/>
      <c r="Q322" s="131"/>
      <c r="R322" s="9"/>
    </row>
    <row r="323" spans="1:18" ht="12" customHeight="1">
      <c r="A323" s="224"/>
      <c r="B323" s="224"/>
      <c r="C323" s="219"/>
      <c r="D323" s="209" t="s">
        <v>264</v>
      </c>
      <c r="E323" s="208"/>
      <c r="F323" s="80"/>
      <c r="G323" s="80"/>
      <c r="H323" s="80"/>
      <c r="I323" s="80"/>
      <c r="J323" s="93"/>
      <c r="K323" s="80"/>
      <c r="L323" s="80"/>
      <c r="M323" s="80"/>
      <c r="N323" s="80"/>
      <c r="O323" s="80"/>
      <c r="P323" s="93"/>
      <c r="Q323" s="131"/>
      <c r="R323" s="9"/>
    </row>
    <row r="324" spans="1:18" ht="13.5">
      <c r="A324" s="130"/>
      <c r="B324" s="130"/>
      <c r="C324" s="210" t="s">
        <v>289</v>
      </c>
      <c r="D324" s="211">
        <v>100</v>
      </c>
      <c r="E324" s="212" t="s">
        <v>209</v>
      </c>
      <c r="F324" s="80"/>
      <c r="G324" s="80"/>
      <c r="H324" s="80"/>
      <c r="I324" s="80"/>
      <c r="J324" s="93"/>
      <c r="K324" s="80"/>
      <c r="L324" s="80"/>
      <c r="M324" s="80"/>
      <c r="N324" s="80"/>
      <c r="O324" s="80"/>
      <c r="P324" s="93"/>
      <c r="Q324" s="131"/>
      <c r="R324" s="9"/>
    </row>
    <row r="325" spans="1:18" ht="13.5">
      <c r="A325" s="130"/>
      <c r="B325" s="130"/>
      <c r="C325" s="131"/>
      <c r="D325" s="132" t="s">
        <v>266</v>
      </c>
      <c r="E325" s="174" t="s">
        <v>270</v>
      </c>
      <c r="F325" s="174"/>
      <c r="G325" s="139"/>
      <c r="H325" s="80">
        <f>1000/H319</f>
        <v>6.666666666666667</v>
      </c>
      <c r="I325" s="139" t="s">
        <v>13</v>
      </c>
      <c r="J325" s="197">
        <f>I309*100</f>
        <v>198.6</v>
      </c>
      <c r="K325" s="139" t="s">
        <v>37</v>
      </c>
      <c r="L325" s="213">
        <f>H325*J325</f>
        <v>1324</v>
      </c>
      <c r="M325" s="80"/>
      <c r="N325" s="80"/>
      <c r="O325" s="80"/>
      <c r="P325" s="93"/>
      <c r="Q325" s="131"/>
      <c r="R325" s="9"/>
    </row>
    <row r="326" spans="1:18" ht="13.5">
      <c r="A326" s="130"/>
      <c r="B326" s="130"/>
      <c r="C326" s="131"/>
      <c r="D326" s="131"/>
      <c r="E326" s="174" t="s">
        <v>271</v>
      </c>
      <c r="F326" s="174"/>
      <c r="G326" s="139"/>
      <c r="H326" s="80">
        <f>L325</f>
        <v>1324</v>
      </c>
      <c r="I326" s="139" t="s">
        <v>43</v>
      </c>
      <c r="J326" s="214">
        <f>D324*F311*100</f>
        <v>232000</v>
      </c>
      <c r="K326" s="139" t="s">
        <v>37</v>
      </c>
      <c r="L326" s="135">
        <f>H326/J326</f>
        <v>0.005706896551724138</v>
      </c>
      <c r="M326" s="80"/>
      <c r="N326" s="80"/>
      <c r="O326" s="80"/>
      <c r="P326" s="93"/>
      <c r="Q326" s="131"/>
      <c r="R326" s="9"/>
    </row>
    <row r="327" spans="1:18" ht="13.5">
      <c r="A327" s="130"/>
      <c r="B327" s="130"/>
      <c r="C327" s="131"/>
      <c r="D327" s="131"/>
      <c r="E327" s="174" t="s">
        <v>273</v>
      </c>
      <c r="F327" s="174"/>
      <c r="G327" s="80" t="s">
        <v>275</v>
      </c>
      <c r="H327" s="80">
        <f>2*E322*L326</f>
        <v>0.17120689655172414</v>
      </c>
      <c r="I327" s="139" t="s">
        <v>31</v>
      </c>
      <c r="J327" s="93">
        <f>E322*L326*E322*L326</f>
        <v>0.007327950356718193</v>
      </c>
      <c r="K327" s="139" t="s">
        <v>276</v>
      </c>
      <c r="L327" s="80">
        <f>E322*L326</f>
        <v>0.08560344827586207</v>
      </c>
      <c r="M327" s="139" t="s">
        <v>37</v>
      </c>
      <c r="N327" s="135">
        <f>SQRT(H327+J327)-L327</f>
        <v>0.33693039286404275</v>
      </c>
      <c r="O327" s="80"/>
      <c r="P327" s="93"/>
      <c r="Q327" s="131"/>
      <c r="R327" s="9"/>
    </row>
    <row r="328" spans="1:18" ht="13.5">
      <c r="A328" s="130"/>
      <c r="B328" s="130"/>
      <c r="C328" s="131"/>
      <c r="D328" s="131"/>
      <c r="E328" s="174" t="s">
        <v>277</v>
      </c>
      <c r="F328" s="174"/>
      <c r="G328" s="80"/>
      <c r="H328" s="80">
        <v>1</v>
      </c>
      <c r="I328" s="139" t="s">
        <v>274</v>
      </c>
      <c r="J328" s="93">
        <f>N327/3</f>
        <v>0.11231013095468091</v>
      </c>
      <c r="K328" s="139" t="s">
        <v>37</v>
      </c>
      <c r="L328" s="135">
        <f>H328-J328</f>
        <v>0.8876898690453191</v>
      </c>
      <c r="M328" s="80"/>
      <c r="N328" s="80"/>
      <c r="O328" s="80"/>
      <c r="P328" s="93"/>
      <c r="Q328" s="131"/>
      <c r="R328" s="9"/>
    </row>
    <row r="329" spans="1:18" ht="3" customHeight="1">
      <c r="A329" s="130"/>
      <c r="B329" s="130"/>
      <c r="C329" s="131"/>
      <c r="D329" s="131"/>
      <c r="E329" s="132"/>
      <c r="F329" s="80"/>
      <c r="G329" s="80"/>
      <c r="H329" s="80"/>
      <c r="I329" s="80"/>
      <c r="J329" s="93"/>
      <c r="K329" s="80"/>
      <c r="L329" s="80"/>
      <c r="M329" s="80"/>
      <c r="N329" s="80"/>
      <c r="O329" s="80"/>
      <c r="P329" s="93"/>
      <c r="Q329" s="131"/>
      <c r="R329" s="9"/>
    </row>
    <row r="330" spans="1:18" ht="13.5">
      <c r="A330" s="130"/>
      <c r="B330" s="130"/>
      <c r="C330" s="133" t="s">
        <v>278</v>
      </c>
      <c r="D330" s="131"/>
      <c r="E330" s="132"/>
      <c r="F330" s="80"/>
      <c r="G330" s="80"/>
      <c r="H330" s="80"/>
      <c r="I330" s="80"/>
      <c r="J330" s="93"/>
      <c r="K330" s="80"/>
      <c r="L330" s="80"/>
      <c r="M330" s="80"/>
      <c r="N330" s="80"/>
      <c r="O330" s="80"/>
      <c r="P330" s="93"/>
      <c r="Q330" s="131"/>
      <c r="R330" s="9"/>
    </row>
    <row r="331" spans="1:18" ht="13.5">
      <c r="A331" s="130"/>
      <c r="B331" s="130"/>
      <c r="C331" s="131"/>
      <c r="D331" s="131"/>
      <c r="E331" s="134" t="s">
        <v>279</v>
      </c>
      <c r="F331" s="215">
        <f>2*P305*10</f>
        <v>99701500</v>
      </c>
      <c r="G331" s="93" t="s">
        <v>280</v>
      </c>
      <c r="H331" s="80">
        <f>N327</f>
        <v>0.33693039286404275</v>
      </c>
      <c r="I331" s="139" t="s">
        <v>13</v>
      </c>
      <c r="J331" s="80">
        <f>L328</f>
        <v>0.8876898690453191</v>
      </c>
      <c r="K331" s="139" t="s">
        <v>13</v>
      </c>
      <c r="L331" s="215">
        <f>D324*10</f>
        <v>1000</v>
      </c>
      <c r="M331" s="139" t="s">
        <v>13</v>
      </c>
      <c r="N331" s="203">
        <f>POWER(F311*10,2)</f>
        <v>53824</v>
      </c>
      <c r="O331" s="139" t="s">
        <v>37</v>
      </c>
      <c r="P331" s="148">
        <f>F331/(H331*J331*L331*N331)</f>
        <v>6.1933307061973775</v>
      </c>
      <c r="Q331" s="131" t="s">
        <v>216</v>
      </c>
      <c r="R331" s="9"/>
    </row>
    <row r="332" spans="1:18" ht="13.5">
      <c r="A332" s="130"/>
      <c r="B332" s="130"/>
      <c r="C332" s="131"/>
      <c r="D332" s="131"/>
      <c r="E332" s="132"/>
      <c r="F332" s="80"/>
      <c r="G332" s="80"/>
      <c r="H332" s="80"/>
      <c r="I332" s="80"/>
      <c r="J332" s="93"/>
      <c r="K332" s="80"/>
      <c r="L332" s="80"/>
      <c r="M332" s="80"/>
      <c r="N332" s="148" t="s">
        <v>282</v>
      </c>
      <c r="O332" s="139" t="s">
        <v>37</v>
      </c>
      <c r="P332" s="216">
        <f>$F$179</f>
        <v>8</v>
      </c>
      <c r="Q332" s="131" t="s">
        <v>216</v>
      </c>
      <c r="R332" s="9"/>
    </row>
    <row r="333" spans="1:18" ht="13.5">
      <c r="A333" s="130"/>
      <c r="B333" s="130"/>
      <c r="C333" s="131"/>
      <c r="D333" s="131"/>
      <c r="E333" s="142"/>
      <c r="F333" s="142"/>
      <c r="G333" s="80"/>
      <c r="H333" s="80"/>
      <c r="I333" s="80"/>
      <c r="J333" s="93"/>
      <c r="K333" s="80"/>
      <c r="L333" s="80"/>
      <c r="M333" s="80"/>
      <c r="N333" s="148" t="s">
        <v>287</v>
      </c>
      <c r="O333" s="80"/>
      <c r="P333" s="147" t="str">
        <f>IF(P332&gt;P331,"OK","NG")</f>
        <v>OK</v>
      </c>
      <c r="Q333" s="131"/>
      <c r="R333" s="9"/>
    </row>
    <row r="334" spans="1:18" ht="3.75" customHeight="1">
      <c r="A334" s="130"/>
      <c r="B334" s="130"/>
      <c r="C334" s="131"/>
      <c r="D334" s="131"/>
      <c r="E334" s="132"/>
      <c r="F334" s="80"/>
      <c r="G334" s="80"/>
      <c r="H334" s="80"/>
      <c r="I334" s="80"/>
      <c r="J334" s="93"/>
      <c r="K334" s="80"/>
      <c r="L334" s="80"/>
      <c r="M334" s="80"/>
      <c r="N334" s="80"/>
      <c r="O334" s="80"/>
      <c r="P334" s="93"/>
      <c r="Q334" s="131"/>
      <c r="R334" s="9"/>
    </row>
    <row r="335" spans="1:18" ht="3.75" customHeight="1">
      <c r="A335" s="130"/>
      <c r="B335" s="130"/>
      <c r="C335" s="225"/>
      <c r="D335" s="131"/>
      <c r="E335" s="132"/>
      <c r="F335" s="80"/>
      <c r="G335" s="80"/>
      <c r="H335" s="80"/>
      <c r="I335" s="80"/>
      <c r="J335" s="93"/>
      <c r="K335" s="80"/>
      <c r="L335" s="80"/>
      <c r="M335" s="80"/>
      <c r="N335" s="80"/>
      <c r="O335" s="80"/>
      <c r="P335" s="93"/>
      <c r="Q335" s="131"/>
      <c r="R335" s="9"/>
    </row>
    <row r="336" spans="1:18" ht="13.5">
      <c r="A336" s="130"/>
      <c r="B336" s="130"/>
      <c r="C336" s="133" t="s">
        <v>283</v>
      </c>
      <c r="D336" s="131"/>
      <c r="E336" s="134" t="s">
        <v>284</v>
      </c>
      <c r="F336" s="203">
        <f>P305*10</f>
        <v>49850750</v>
      </c>
      <c r="G336" s="93" t="s">
        <v>280</v>
      </c>
      <c r="H336" s="80">
        <f>L325</f>
        <v>1324</v>
      </c>
      <c r="I336" s="139" t="s">
        <v>13</v>
      </c>
      <c r="J336" s="93">
        <f>L328</f>
        <v>0.8876898690453191</v>
      </c>
      <c r="K336" s="139" t="s">
        <v>13</v>
      </c>
      <c r="L336" s="202">
        <f>F311*10</f>
        <v>232</v>
      </c>
      <c r="M336" s="80" t="s">
        <v>285</v>
      </c>
      <c r="N336" s="194">
        <f>F336/(H336*J336*L336)</f>
        <v>182.82452897675114</v>
      </c>
      <c r="O336" s="131" t="s">
        <v>216</v>
      </c>
      <c r="P336" s="93"/>
      <c r="Q336" s="131"/>
      <c r="R336" s="9"/>
    </row>
    <row r="337" spans="1:18" ht="16.5" customHeight="1">
      <c r="A337" s="130"/>
      <c r="B337" s="130"/>
      <c r="C337" s="131"/>
      <c r="D337" s="131"/>
      <c r="E337" s="132"/>
      <c r="F337" s="80"/>
      <c r="G337" s="80"/>
      <c r="H337" s="80"/>
      <c r="I337" s="80"/>
      <c r="J337" s="93"/>
      <c r="K337" s="80"/>
      <c r="L337" s="148" t="s">
        <v>286</v>
      </c>
      <c r="M337" s="139" t="s">
        <v>37</v>
      </c>
      <c r="N337" s="136">
        <f>$F$183</f>
        <v>195</v>
      </c>
      <c r="O337" s="131" t="s">
        <v>216</v>
      </c>
      <c r="P337" s="93"/>
      <c r="Q337" s="131"/>
      <c r="R337" s="9"/>
    </row>
    <row r="338" spans="1:18" ht="15" customHeight="1">
      <c r="A338" s="130"/>
      <c r="B338" s="130"/>
      <c r="C338" s="131"/>
      <c r="D338" s="131"/>
      <c r="E338" s="132"/>
      <c r="F338" s="80"/>
      <c r="G338" s="80"/>
      <c r="H338" s="80"/>
      <c r="I338" s="80"/>
      <c r="J338" s="93"/>
      <c r="K338" s="80"/>
      <c r="L338" s="80"/>
      <c r="M338" s="80"/>
      <c r="N338" s="148" t="s">
        <v>288</v>
      </c>
      <c r="O338" s="80"/>
      <c r="P338" s="147" t="str">
        <f>IF(N337&gt;N336,"OK","NG")</f>
        <v>OK</v>
      </c>
      <c r="Q338" s="131"/>
      <c r="R338" s="9"/>
    </row>
    <row r="339" spans="1:18" ht="6" customHeight="1">
      <c r="A339" s="130"/>
      <c r="B339" s="130"/>
      <c r="C339" s="225"/>
      <c r="D339" s="131"/>
      <c r="E339" s="132"/>
      <c r="F339" s="80"/>
      <c r="G339" s="80"/>
      <c r="H339" s="80"/>
      <c r="I339" s="80"/>
      <c r="J339" s="93"/>
      <c r="K339" s="80"/>
      <c r="L339" s="80"/>
      <c r="M339" s="80"/>
      <c r="N339" s="80"/>
      <c r="O339" s="80"/>
      <c r="P339" s="93"/>
      <c r="Q339" s="131"/>
      <c r="R339" s="9"/>
    </row>
    <row r="340" spans="1:18" ht="13.5">
      <c r="A340" s="130"/>
      <c r="B340" s="130"/>
      <c r="C340" s="133" t="s">
        <v>290</v>
      </c>
      <c r="D340" s="131"/>
      <c r="E340" s="134" t="s">
        <v>291</v>
      </c>
      <c r="F340" s="203">
        <f>P306</f>
        <v>7925</v>
      </c>
      <c r="G340" s="93" t="s">
        <v>280</v>
      </c>
      <c r="H340" s="202">
        <f>D324*10</f>
        <v>1000</v>
      </c>
      <c r="I340" s="139" t="s">
        <v>13</v>
      </c>
      <c r="J340" s="217">
        <f>F311*10</f>
        <v>232</v>
      </c>
      <c r="K340" s="80" t="s">
        <v>285</v>
      </c>
      <c r="L340" s="135">
        <f>F340/(H340*J340)</f>
        <v>0.03415948275862069</v>
      </c>
      <c r="M340" s="131" t="s">
        <v>216</v>
      </c>
      <c r="N340" s="80"/>
      <c r="O340" s="80"/>
      <c r="P340" s="93"/>
      <c r="Q340" s="131"/>
      <c r="R340" s="9"/>
    </row>
    <row r="341" spans="1:18" ht="13.5">
      <c r="A341" s="130"/>
      <c r="B341" s="130"/>
      <c r="C341" s="131"/>
      <c r="D341" s="131"/>
      <c r="E341" s="132"/>
      <c r="F341" s="80"/>
      <c r="G341" s="80"/>
      <c r="H341" s="80"/>
      <c r="I341" s="80"/>
      <c r="J341" s="148" t="s">
        <v>292</v>
      </c>
      <c r="K341" s="139" t="s">
        <v>37</v>
      </c>
      <c r="L341" s="216">
        <f>$F$180</f>
        <v>0.73</v>
      </c>
      <c r="M341" s="131" t="s">
        <v>216</v>
      </c>
      <c r="N341" s="80"/>
      <c r="O341" s="80"/>
      <c r="P341" s="93"/>
      <c r="Q341" s="131"/>
      <c r="R341" s="9"/>
    </row>
    <row r="342" spans="1:18" ht="13.5">
      <c r="A342" s="130"/>
      <c r="B342" s="130"/>
      <c r="C342" s="131"/>
      <c r="D342" s="131"/>
      <c r="E342" s="132"/>
      <c r="F342" s="80"/>
      <c r="G342" s="80"/>
      <c r="H342" s="80"/>
      <c r="I342" s="80"/>
      <c r="J342" s="93"/>
      <c r="K342" s="80"/>
      <c r="L342" s="135"/>
      <c r="M342" s="80"/>
      <c r="N342" s="148" t="s">
        <v>293</v>
      </c>
      <c r="O342" s="80"/>
      <c r="P342" s="147" t="str">
        <f>IF(L341&gt;L340,"OK","NG")</f>
        <v>OK</v>
      </c>
      <c r="Q342" s="131"/>
      <c r="R342" s="9"/>
    </row>
    <row r="343" spans="1:18" ht="5.25" customHeight="1">
      <c r="A343" s="130"/>
      <c r="B343" s="130"/>
      <c r="C343" s="131"/>
      <c r="D343" s="131"/>
      <c r="E343" s="132"/>
      <c r="F343" s="80"/>
      <c r="G343" s="80"/>
      <c r="H343" s="80"/>
      <c r="I343" s="80"/>
      <c r="J343" s="93"/>
      <c r="K343" s="80"/>
      <c r="L343" s="80"/>
      <c r="M343" s="80"/>
      <c r="N343" s="80"/>
      <c r="O343" s="80"/>
      <c r="P343" s="93"/>
      <c r="Q343" s="131"/>
      <c r="R343" s="9"/>
    </row>
    <row r="344" spans="1:18" ht="13.5">
      <c r="A344" s="130"/>
      <c r="B344" s="195" t="s">
        <v>326</v>
      </c>
      <c r="C344" s="196"/>
      <c r="D344" s="131"/>
      <c r="E344" s="134"/>
      <c r="F344" s="148" t="s">
        <v>327</v>
      </c>
      <c r="G344" s="80" t="s">
        <v>317</v>
      </c>
      <c r="H344" s="80">
        <f>$H$300</f>
        <v>62.150000000000006</v>
      </c>
      <c r="I344" s="139" t="s">
        <v>316</v>
      </c>
      <c r="J344" s="93">
        <f>POWER((($F$13-$F$14)/2),2)</f>
        <v>1.8225000000000002</v>
      </c>
      <c r="K344" s="80" t="s">
        <v>318</v>
      </c>
      <c r="L344" s="203">
        <v>2</v>
      </c>
      <c r="M344" s="139" t="s">
        <v>319</v>
      </c>
      <c r="N344" s="80">
        <f>(H344*J344)/L344</f>
        <v>56.63418750000001</v>
      </c>
      <c r="O344" s="80" t="s">
        <v>309</v>
      </c>
      <c r="P344" s="93"/>
      <c r="Q344" s="131"/>
      <c r="R344" s="9"/>
    </row>
    <row r="345" spans="1:18" ht="13.5">
      <c r="A345" s="130"/>
      <c r="B345" s="138"/>
      <c r="C345" s="131"/>
      <c r="D345" s="131"/>
      <c r="E345" s="132"/>
      <c r="F345" s="134" t="s">
        <v>328</v>
      </c>
      <c r="G345" s="80"/>
      <c r="H345" s="80">
        <f>$H$300</f>
        <v>62.150000000000006</v>
      </c>
      <c r="I345" s="139" t="s">
        <v>316</v>
      </c>
      <c r="J345" s="93">
        <f>($F$13-$F$14)/2</f>
        <v>1.35</v>
      </c>
      <c r="K345" s="139" t="s">
        <v>319</v>
      </c>
      <c r="L345" s="80">
        <f>H345*J345</f>
        <v>83.90250000000002</v>
      </c>
      <c r="M345" s="80" t="s">
        <v>309</v>
      </c>
      <c r="N345" s="80"/>
      <c r="O345" s="80"/>
      <c r="P345" s="93"/>
      <c r="Q345" s="131"/>
      <c r="R345" s="9"/>
    </row>
    <row r="346" spans="1:18" ht="13.5">
      <c r="A346" s="130"/>
      <c r="B346" s="130"/>
      <c r="C346" s="131"/>
      <c r="D346" s="131"/>
      <c r="E346" s="132"/>
      <c r="F346" s="148" t="s">
        <v>330</v>
      </c>
      <c r="G346" s="139"/>
      <c r="H346" s="80">
        <f>($H$298+$H$299)/2+(2*$H$299)</f>
        <v>113.19725800000005</v>
      </c>
      <c r="I346" s="139" t="s">
        <v>316</v>
      </c>
      <c r="J346" s="93">
        <f>POWER(($F$13-$F$14)/2,2)/6</f>
        <v>0.30375</v>
      </c>
      <c r="K346" s="139" t="s">
        <v>319</v>
      </c>
      <c r="L346" s="198">
        <f>H346*J346</f>
        <v>34.38366711750002</v>
      </c>
      <c r="M346" s="80" t="s">
        <v>309</v>
      </c>
      <c r="N346" s="80"/>
      <c r="O346" s="139"/>
      <c r="P346" s="93"/>
      <c r="Q346" s="131"/>
      <c r="R346" s="9"/>
    </row>
    <row r="347" spans="1:18" ht="13.5">
      <c r="A347" s="130"/>
      <c r="B347" s="130"/>
      <c r="C347" s="131"/>
      <c r="D347" s="131"/>
      <c r="E347" s="132"/>
      <c r="F347" s="148" t="s">
        <v>329</v>
      </c>
      <c r="G347" s="139"/>
      <c r="H347" s="80">
        <f>(($H$298+$H$299)/2)+$H$299</f>
        <v>86.2059446666667</v>
      </c>
      <c r="I347" s="139" t="s">
        <v>316</v>
      </c>
      <c r="J347" s="93">
        <f>(($F$13-$F$14)/2)/2</f>
        <v>0.675</v>
      </c>
      <c r="K347" s="139" t="s">
        <v>319</v>
      </c>
      <c r="L347" s="80">
        <f>H347*J347</f>
        <v>58.18901265000002</v>
      </c>
      <c r="M347" s="80" t="s">
        <v>309</v>
      </c>
      <c r="N347" s="80"/>
      <c r="O347" s="131"/>
      <c r="P347" s="93"/>
      <c r="Q347" s="131"/>
      <c r="R347" s="9"/>
    </row>
    <row r="348" spans="1:18" ht="13.5">
      <c r="A348" s="130"/>
      <c r="B348" s="130"/>
      <c r="C348" s="131"/>
      <c r="D348" s="131"/>
      <c r="E348" s="132"/>
      <c r="F348" s="134"/>
      <c r="G348" s="139"/>
      <c r="H348" s="80"/>
      <c r="I348" s="139"/>
      <c r="J348" s="93"/>
      <c r="K348" s="180"/>
      <c r="L348" s="80"/>
      <c r="M348" s="139"/>
      <c r="N348" s="134" t="s">
        <v>324</v>
      </c>
      <c r="O348" s="139" t="s">
        <v>37</v>
      </c>
      <c r="P348" s="199">
        <f>ROUND((N344-L346)*POWER(10,5),0)</f>
        <v>2225052</v>
      </c>
      <c r="Q348" s="131" t="s">
        <v>207</v>
      </c>
      <c r="R348" s="9"/>
    </row>
    <row r="349" spans="1:18" ht="13.5">
      <c r="A349" s="130"/>
      <c r="B349" s="130"/>
      <c r="C349" s="131"/>
      <c r="D349" s="131"/>
      <c r="E349" s="134"/>
      <c r="F349" s="80"/>
      <c r="G349" s="139"/>
      <c r="H349" s="80"/>
      <c r="I349" s="139"/>
      <c r="J349" s="93"/>
      <c r="K349" s="80"/>
      <c r="L349" s="80"/>
      <c r="M349" s="139"/>
      <c r="N349" s="148" t="s">
        <v>325</v>
      </c>
      <c r="O349" s="139" t="s">
        <v>37</v>
      </c>
      <c r="P349" s="199">
        <f>ROUND((L345-L347)*POWER(10,3),0)</f>
        <v>25713</v>
      </c>
      <c r="Q349" s="131" t="s">
        <v>208</v>
      </c>
      <c r="R349" s="9"/>
    </row>
    <row r="350" spans="1:18" ht="6" customHeight="1">
      <c r="A350" s="130"/>
      <c r="B350" s="138"/>
      <c r="C350" s="131"/>
      <c r="D350" s="131"/>
      <c r="E350" s="134"/>
      <c r="F350" s="80"/>
      <c r="G350" s="139"/>
      <c r="H350" s="80"/>
      <c r="I350" s="139"/>
      <c r="J350" s="93"/>
      <c r="K350" s="80"/>
      <c r="L350" s="80"/>
      <c r="M350" s="139"/>
      <c r="N350" s="139"/>
      <c r="O350" s="139"/>
      <c r="P350" s="199"/>
      <c r="Q350" s="131"/>
      <c r="R350" s="9"/>
    </row>
    <row r="351" spans="1:18" ht="14.25" thickBot="1">
      <c r="A351" s="130"/>
      <c r="B351" s="138" t="s">
        <v>243</v>
      </c>
      <c r="C351" s="131"/>
      <c r="D351" s="131"/>
      <c r="E351" s="132"/>
      <c r="F351" s="80"/>
      <c r="G351" s="139" t="s">
        <v>50</v>
      </c>
      <c r="H351" s="139" t="s">
        <v>236</v>
      </c>
      <c r="I351" s="139" t="s">
        <v>237</v>
      </c>
      <c r="J351" s="139" t="s">
        <v>238</v>
      </c>
      <c r="K351" s="80"/>
      <c r="L351" s="80"/>
      <c r="M351" s="80"/>
      <c r="N351" s="80"/>
      <c r="O351" s="80"/>
      <c r="P351" s="93"/>
      <c r="Q351" s="131"/>
      <c r="R351" s="9"/>
    </row>
    <row r="352" spans="1:18" ht="14.25" thickBot="1">
      <c r="A352" s="130"/>
      <c r="B352" s="138"/>
      <c r="C352" s="131"/>
      <c r="D352" s="131"/>
      <c r="E352" s="132"/>
      <c r="F352" s="134" t="s">
        <v>232</v>
      </c>
      <c r="G352" s="218" t="s">
        <v>366</v>
      </c>
      <c r="H352" s="149">
        <f>VLOOKUP(G352,$G$185:$J$189,2,FALSE)</f>
        <v>1.6</v>
      </c>
      <c r="I352" s="135">
        <f>VLOOKUP(G352,$G$185:$J$189,3,FALSE)</f>
        <v>1.986</v>
      </c>
      <c r="J352" s="201">
        <f>VLOOKUP(G352,$G$185:$J$189,4,FALSE)</f>
        <v>5</v>
      </c>
      <c r="K352" s="80"/>
      <c r="L352" s="80"/>
      <c r="M352" s="80"/>
      <c r="N352" s="80"/>
      <c r="O352" s="80"/>
      <c r="P352" s="93"/>
      <c r="Q352" s="131"/>
      <c r="R352" s="9"/>
    </row>
    <row r="353" spans="1:18" ht="13.5">
      <c r="A353" s="130"/>
      <c r="B353" s="130"/>
      <c r="C353" s="131"/>
      <c r="D353" s="131"/>
      <c r="E353" s="132" t="s">
        <v>239</v>
      </c>
      <c r="F353" s="202">
        <f>$F$14*100</f>
        <v>30</v>
      </c>
      <c r="G353" s="80" t="s">
        <v>209</v>
      </c>
      <c r="H353" s="80"/>
      <c r="I353" s="80"/>
      <c r="J353" s="93"/>
      <c r="K353" s="80"/>
      <c r="L353" s="80"/>
      <c r="M353" s="80"/>
      <c r="N353" s="80"/>
      <c r="O353" s="80"/>
      <c r="P353" s="93"/>
      <c r="Q353" s="131"/>
      <c r="R353" s="9"/>
    </row>
    <row r="354" spans="1:18" ht="13.5">
      <c r="A354" s="130"/>
      <c r="B354" s="130"/>
      <c r="C354" s="131"/>
      <c r="D354" s="131"/>
      <c r="E354" s="134" t="s">
        <v>242</v>
      </c>
      <c r="F354" s="149">
        <f>F353-$F$176-(0.5*H352)</f>
        <v>23.2</v>
      </c>
      <c r="G354" s="80" t="s">
        <v>209</v>
      </c>
      <c r="H354" s="80"/>
      <c r="I354" s="80"/>
      <c r="J354" s="93"/>
      <c r="K354" s="80"/>
      <c r="L354" s="80"/>
      <c r="M354" s="80"/>
      <c r="N354" s="80"/>
      <c r="O354" s="80"/>
      <c r="P354" s="93"/>
      <c r="Q354" s="131"/>
      <c r="R354" s="9"/>
    </row>
    <row r="355" spans="1:18" ht="13.5">
      <c r="A355" s="130"/>
      <c r="B355" s="130"/>
      <c r="C355" s="131"/>
      <c r="D355" s="131"/>
      <c r="E355" s="134" t="s">
        <v>262</v>
      </c>
      <c r="F355" s="135">
        <f>7/8*F354</f>
        <v>20.3</v>
      </c>
      <c r="G355" s="80" t="s">
        <v>209</v>
      </c>
      <c r="H355" s="80"/>
      <c r="I355" s="80"/>
      <c r="J355" s="93"/>
      <c r="K355" s="80"/>
      <c r="L355" s="80"/>
      <c r="M355" s="80"/>
      <c r="N355" s="80"/>
      <c r="O355" s="80"/>
      <c r="P355" s="93"/>
      <c r="Q355" s="131"/>
      <c r="R355" s="9"/>
    </row>
    <row r="356" spans="1:18" ht="13.5">
      <c r="A356" s="130"/>
      <c r="B356" s="130"/>
      <c r="C356" s="131"/>
      <c r="D356" s="132" t="s">
        <v>247</v>
      </c>
      <c r="E356" s="134" t="s">
        <v>376</v>
      </c>
      <c r="F356" s="203">
        <f>P348</f>
        <v>2225052</v>
      </c>
      <c r="G356" s="139" t="s">
        <v>43</v>
      </c>
      <c r="H356" s="202">
        <f>$H$183*F355</f>
        <v>395850</v>
      </c>
      <c r="I356" s="139" t="s">
        <v>173</v>
      </c>
      <c r="J356" s="135">
        <f>F356/H356</f>
        <v>5.620947328533536</v>
      </c>
      <c r="K356" s="80" t="s">
        <v>246</v>
      </c>
      <c r="L356" s="80"/>
      <c r="M356" s="80"/>
      <c r="N356" s="80"/>
      <c r="O356" s="80"/>
      <c r="P356" s="148"/>
      <c r="Q356" s="131"/>
      <c r="R356" s="9"/>
    </row>
    <row r="357" spans="1:18" ht="13.5">
      <c r="A357" s="130"/>
      <c r="B357" s="130"/>
      <c r="C357" s="131"/>
      <c r="D357" s="132" t="s">
        <v>248</v>
      </c>
      <c r="E357" s="134" t="s">
        <v>249</v>
      </c>
      <c r="F357" s="203">
        <f>P349</f>
        <v>25713</v>
      </c>
      <c r="G357" s="139" t="s">
        <v>43</v>
      </c>
      <c r="H357" s="80">
        <f>$H$181*F355</f>
        <v>3126.2000000000003</v>
      </c>
      <c r="I357" s="139" t="s">
        <v>173</v>
      </c>
      <c r="J357" s="148">
        <f>F357/H357</f>
        <v>8.225001599385836</v>
      </c>
      <c r="K357" s="80" t="s">
        <v>252</v>
      </c>
      <c r="L357" s="80"/>
      <c r="M357" s="80"/>
      <c r="N357" s="80"/>
      <c r="O357" s="80"/>
      <c r="P357" s="93"/>
      <c r="Q357" s="131"/>
      <c r="R357" s="9"/>
    </row>
    <row r="358" spans="1:18" ht="13.5">
      <c r="A358" s="130"/>
      <c r="B358" s="130"/>
      <c r="C358" s="131"/>
      <c r="D358" s="132" t="s">
        <v>254</v>
      </c>
      <c r="E358" s="132" t="s">
        <v>253</v>
      </c>
      <c r="F358" s="80">
        <f>J356/I352</f>
        <v>2.830285663914167</v>
      </c>
      <c r="G358" s="80" t="s">
        <v>257</v>
      </c>
      <c r="H358" s="203">
        <f>ROUNDDOWN(1000/F358,0)</f>
        <v>353</v>
      </c>
      <c r="I358" s="80" t="s">
        <v>258</v>
      </c>
      <c r="J358" s="93"/>
      <c r="K358" s="80"/>
      <c r="L358" s="80"/>
      <c r="M358" s="80"/>
      <c r="N358" s="80"/>
      <c r="O358" s="80"/>
      <c r="P358" s="93"/>
      <c r="Q358" s="131"/>
      <c r="R358" s="9"/>
    </row>
    <row r="359" spans="1:18" ht="13.5">
      <c r="A359" s="130"/>
      <c r="B359" s="138"/>
      <c r="C359" s="131"/>
      <c r="D359" s="132" t="s">
        <v>255</v>
      </c>
      <c r="E359" s="132" t="s">
        <v>256</v>
      </c>
      <c r="F359" s="80">
        <f>J357/J352</f>
        <v>1.6450003198771672</v>
      </c>
      <c r="G359" s="80" t="s">
        <v>257</v>
      </c>
      <c r="H359" s="203">
        <f>ROUNDDOWN(1000/F359,0)</f>
        <v>607</v>
      </c>
      <c r="I359" s="80" t="s">
        <v>258</v>
      </c>
      <c r="J359" s="93"/>
      <c r="K359" s="80"/>
      <c r="L359" s="80"/>
      <c r="M359" s="80"/>
      <c r="N359" s="80"/>
      <c r="O359" s="80"/>
      <c r="P359" s="93"/>
      <c r="Q359" s="131"/>
      <c r="R359" s="9"/>
    </row>
    <row r="360" spans="1:18" ht="13.5">
      <c r="A360" s="130"/>
      <c r="B360" s="138"/>
      <c r="C360" s="131"/>
      <c r="D360" s="131"/>
      <c r="E360" s="132"/>
      <c r="F360" s="80"/>
      <c r="G360" s="80"/>
      <c r="H360" s="154">
        <f>MIN(H358:H359)</f>
        <v>353</v>
      </c>
      <c r="I360" s="135" t="s">
        <v>258</v>
      </c>
      <c r="J360" s="93"/>
      <c r="K360" s="80"/>
      <c r="L360" s="80"/>
      <c r="M360" s="80"/>
      <c r="N360" s="80"/>
      <c r="O360" s="80"/>
      <c r="P360" s="93"/>
      <c r="Q360" s="131"/>
      <c r="R360" s="9"/>
    </row>
    <row r="361" spans="1:18" ht="4.5" customHeight="1" thickBot="1">
      <c r="A361" s="130"/>
      <c r="B361" s="130"/>
      <c r="C361" s="131"/>
      <c r="D361" s="131"/>
      <c r="E361" s="132"/>
      <c r="F361" s="80"/>
      <c r="G361" s="80"/>
      <c r="H361" s="80"/>
      <c r="I361" s="80"/>
      <c r="J361" s="93"/>
      <c r="K361" s="80"/>
      <c r="L361" s="80"/>
      <c r="M361" s="80"/>
      <c r="N361" s="80"/>
      <c r="O361" s="80"/>
      <c r="P361" s="93"/>
      <c r="Q361" s="131"/>
      <c r="R361" s="9"/>
    </row>
    <row r="362" spans="1:18" ht="14.25" thickBot="1">
      <c r="A362" s="130"/>
      <c r="B362" s="138" t="s">
        <v>259</v>
      </c>
      <c r="C362" s="131"/>
      <c r="D362" s="133"/>
      <c r="E362" s="134" t="s">
        <v>260</v>
      </c>
      <c r="F362" s="80"/>
      <c r="G362" s="204" t="str">
        <f>G352</f>
        <v>D16</v>
      </c>
      <c r="H362" s="205">
        <v>300</v>
      </c>
      <c r="I362" s="135" t="s">
        <v>370</v>
      </c>
      <c r="J362" s="93"/>
      <c r="K362" s="80"/>
      <c r="L362" s="80"/>
      <c r="M362" s="80"/>
      <c r="N362" s="80"/>
      <c r="O362" s="80"/>
      <c r="P362" s="93"/>
      <c r="Q362" s="131"/>
      <c r="R362" s="9"/>
    </row>
    <row r="363" spans="1:18" ht="5.25" customHeight="1">
      <c r="A363" s="130"/>
      <c r="B363" s="130"/>
      <c r="C363" s="131"/>
      <c r="D363" s="131"/>
      <c r="E363" s="132"/>
      <c r="F363" s="80"/>
      <c r="G363" s="80"/>
      <c r="H363" s="80"/>
      <c r="I363" s="80"/>
      <c r="J363" s="93"/>
      <c r="K363" s="80"/>
      <c r="L363" s="80"/>
      <c r="M363" s="80"/>
      <c r="N363" s="80"/>
      <c r="O363" s="80"/>
      <c r="P363" s="93"/>
      <c r="Q363" s="131"/>
      <c r="R363" s="9"/>
    </row>
    <row r="364" spans="1:18" ht="2.25" customHeight="1">
      <c r="A364" s="130"/>
      <c r="B364" s="12"/>
      <c r="C364" s="131"/>
      <c r="D364" s="131"/>
      <c r="E364" s="132"/>
      <c r="F364" s="80"/>
      <c r="G364" s="80"/>
      <c r="H364" s="80"/>
      <c r="I364" s="80"/>
      <c r="J364" s="93"/>
      <c r="K364" s="80"/>
      <c r="L364" s="80"/>
      <c r="M364" s="80"/>
      <c r="N364" s="80"/>
      <c r="O364" s="80"/>
      <c r="P364" s="93"/>
      <c r="Q364" s="131"/>
      <c r="R364" s="9"/>
    </row>
    <row r="365" spans="1:18" ht="12.75" customHeight="1">
      <c r="A365" s="224" t="s">
        <v>368</v>
      </c>
      <c r="B365" s="224"/>
      <c r="C365" s="206" t="s">
        <v>367</v>
      </c>
      <c r="D365" s="207" t="s">
        <v>263</v>
      </c>
      <c r="E365" s="208">
        <v>15</v>
      </c>
      <c r="F365" s="80"/>
      <c r="G365" s="80"/>
      <c r="H365" s="80"/>
      <c r="I365" s="80"/>
      <c r="J365" s="93"/>
      <c r="K365" s="80"/>
      <c r="L365" s="80"/>
      <c r="M365" s="80"/>
      <c r="N365" s="80"/>
      <c r="O365" s="80"/>
      <c r="P365" s="93"/>
      <c r="Q365" s="131"/>
      <c r="R365" s="9"/>
    </row>
    <row r="366" spans="1:18" ht="9" customHeight="1">
      <c r="A366" s="224"/>
      <c r="B366" s="224"/>
      <c r="C366" s="206"/>
      <c r="D366" s="209" t="s">
        <v>264</v>
      </c>
      <c r="E366" s="208"/>
      <c r="F366" s="80"/>
      <c r="G366" s="80"/>
      <c r="H366" s="80"/>
      <c r="I366" s="80"/>
      <c r="J366" s="93"/>
      <c r="K366" s="80"/>
      <c r="L366" s="80"/>
      <c r="M366" s="80"/>
      <c r="N366" s="80"/>
      <c r="O366" s="80"/>
      <c r="P366" s="93"/>
      <c r="Q366" s="131"/>
      <c r="R366" s="9"/>
    </row>
    <row r="367" spans="1:18" ht="13.5">
      <c r="A367" s="130"/>
      <c r="B367" s="130"/>
      <c r="C367" s="210" t="s">
        <v>289</v>
      </c>
      <c r="D367" s="211">
        <v>100</v>
      </c>
      <c r="E367" s="212" t="s">
        <v>209</v>
      </c>
      <c r="F367" s="80"/>
      <c r="G367" s="80"/>
      <c r="H367" s="80"/>
      <c r="I367" s="80"/>
      <c r="J367" s="93"/>
      <c r="K367" s="80"/>
      <c r="L367" s="80"/>
      <c r="M367" s="80"/>
      <c r="N367" s="80"/>
      <c r="O367" s="80"/>
      <c r="P367" s="93"/>
      <c r="Q367" s="131"/>
      <c r="R367" s="9"/>
    </row>
    <row r="368" spans="1:18" ht="13.5">
      <c r="A368" s="130"/>
      <c r="B368" s="130"/>
      <c r="C368" s="131"/>
      <c r="D368" s="132" t="s">
        <v>266</v>
      </c>
      <c r="E368" s="176" t="s">
        <v>270</v>
      </c>
      <c r="F368" s="176"/>
      <c r="G368" s="139"/>
      <c r="H368" s="80">
        <f>1000/H362</f>
        <v>3.3333333333333335</v>
      </c>
      <c r="I368" s="139" t="s">
        <v>13</v>
      </c>
      <c r="J368" s="197">
        <f>I352*100</f>
        <v>198.6</v>
      </c>
      <c r="K368" s="139" t="s">
        <v>37</v>
      </c>
      <c r="L368" s="213">
        <f>H368*J368</f>
        <v>662</v>
      </c>
      <c r="M368" s="80"/>
      <c r="N368" s="80"/>
      <c r="O368" s="80"/>
      <c r="P368" s="93"/>
      <c r="Q368" s="131"/>
      <c r="R368" s="9"/>
    </row>
    <row r="369" spans="1:18" ht="13.5">
      <c r="A369" s="130"/>
      <c r="B369" s="130"/>
      <c r="C369" s="131"/>
      <c r="D369" s="131"/>
      <c r="E369" s="176" t="s">
        <v>271</v>
      </c>
      <c r="F369" s="176"/>
      <c r="G369" s="139"/>
      <c r="H369" s="80">
        <f>L368</f>
        <v>662</v>
      </c>
      <c r="I369" s="139" t="s">
        <v>43</v>
      </c>
      <c r="J369" s="214">
        <f>D367*F354*100</f>
        <v>232000</v>
      </c>
      <c r="K369" s="139" t="s">
        <v>37</v>
      </c>
      <c r="L369" s="135">
        <f>H369/J369</f>
        <v>0.002853448275862069</v>
      </c>
      <c r="M369" s="80"/>
      <c r="N369" s="80"/>
      <c r="O369" s="80"/>
      <c r="P369" s="93"/>
      <c r="Q369" s="131"/>
      <c r="R369" s="9"/>
    </row>
    <row r="370" spans="1:18" ht="13.5">
      <c r="A370" s="130"/>
      <c r="B370" s="130"/>
      <c r="C370" s="131"/>
      <c r="D370" s="131"/>
      <c r="E370" s="176" t="s">
        <v>273</v>
      </c>
      <c r="F370" s="176"/>
      <c r="G370" s="80" t="s">
        <v>275</v>
      </c>
      <c r="H370" s="80">
        <f>2*E365*L369</f>
        <v>0.08560344827586207</v>
      </c>
      <c r="I370" s="139" t="s">
        <v>31</v>
      </c>
      <c r="J370" s="93">
        <f>E365*L369*E365*L369</f>
        <v>0.0018319875891795482</v>
      </c>
      <c r="K370" s="139" t="s">
        <v>276</v>
      </c>
      <c r="L370" s="80">
        <f>E365*L369</f>
        <v>0.042801724137931034</v>
      </c>
      <c r="M370" s="139" t="s">
        <v>37</v>
      </c>
      <c r="N370" s="135">
        <f>SQRT(H370+J370)-L370</f>
        <v>0.2528931115711858</v>
      </c>
      <c r="O370" s="80"/>
      <c r="P370" s="93"/>
      <c r="Q370" s="131"/>
      <c r="R370" s="9"/>
    </row>
    <row r="371" spans="1:18" ht="13.5">
      <c r="A371" s="130"/>
      <c r="B371" s="130"/>
      <c r="C371" s="131"/>
      <c r="D371" s="131"/>
      <c r="E371" s="176" t="s">
        <v>277</v>
      </c>
      <c r="F371" s="176"/>
      <c r="G371" s="80"/>
      <c r="H371" s="80">
        <v>1</v>
      </c>
      <c r="I371" s="139" t="s">
        <v>274</v>
      </c>
      <c r="J371" s="93">
        <f>N370/3</f>
        <v>0.08429770385706194</v>
      </c>
      <c r="K371" s="139" t="s">
        <v>37</v>
      </c>
      <c r="L371" s="135">
        <f>H371-J371</f>
        <v>0.9157022961429381</v>
      </c>
      <c r="M371" s="80"/>
      <c r="N371" s="80"/>
      <c r="O371" s="80"/>
      <c r="P371" s="93"/>
      <c r="Q371" s="131"/>
      <c r="R371" s="9"/>
    </row>
    <row r="372" spans="1:18" ht="3" customHeight="1">
      <c r="A372" s="130"/>
      <c r="B372" s="130"/>
      <c r="C372" s="131"/>
      <c r="D372" s="131"/>
      <c r="E372" s="132"/>
      <c r="F372" s="80"/>
      <c r="G372" s="80"/>
      <c r="H372" s="80"/>
      <c r="I372" s="80"/>
      <c r="J372" s="93"/>
      <c r="K372" s="80"/>
      <c r="L372" s="80"/>
      <c r="M372" s="80"/>
      <c r="N372" s="80"/>
      <c r="O372" s="80"/>
      <c r="P372" s="93"/>
      <c r="Q372" s="131"/>
      <c r="R372" s="9"/>
    </row>
    <row r="373" spans="1:18" ht="3.75" customHeight="1">
      <c r="A373" s="130"/>
      <c r="B373" s="130"/>
      <c r="C373" s="133"/>
      <c r="D373" s="131"/>
      <c r="E373" s="132"/>
      <c r="F373" s="80"/>
      <c r="G373" s="80"/>
      <c r="H373" s="80"/>
      <c r="I373" s="80"/>
      <c r="J373" s="93"/>
      <c r="K373" s="80"/>
      <c r="L373" s="80"/>
      <c r="M373" s="80"/>
      <c r="N373" s="80"/>
      <c r="O373" s="80"/>
      <c r="P373" s="93"/>
      <c r="Q373" s="131"/>
      <c r="R373" s="9"/>
    </row>
    <row r="374" spans="1:18" ht="13.5">
      <c r="A374" s="130"/>
      <c r="B374" s="138" t="s">
        <v>369</v>
      </c>
      <c r="C374" s="131"/>
      <c r="D374" s="131"/>
      <c r="E374" s="134" t="s">
        <v>279</v>
      </c>
      <c r="F374" s="215">
        <f>2*P348*10</f>
        <v>44501040</v>
      </c>
      <c r="G374" s="93" t="s">
        <v>280</v>
      </c>
      <c r="H374" s="80">
        <f>N370</f>
        <v>0.2528931115711858</v>
      </c>
      <c r="I374" s="139" t="s">
        <v>13</v>
      </c>
      <c r="J374" s="80">
        <f>L371</f>
        <v>0.9157022961429381</v>
      </c>
      <c r="K374" s="139" t="s">
        <v>13</v>
      </c>
      <c r="L374" s="215">
        <f>D367*10</f>
        <v>1000</v>
      </c>
      <c r="M374" s="139" t="s">
        <v>13</v>
      </c>
      <c r="N374" s="203">
        <f>POWER(F354*10,2)</f>
        <v>53824</v>
      </c>
      <c r="O374" s="139" t="s">
        <v>37</v>
      </c>
      <c r="P374" s="148">
        <f>F374/(H374*J374*L374*N374)</f>
        <v>3.570285019907003</v>
      </c>
      <c r="Q374" s="131" t="s">
        <v>216</v>
      </c>
      <c r="R374" s="9"/>
    </row>
    <row r="375" spans="1:18" ht="13.5">
      <c r="A375" s="130"/>
      <c r="B375" s="130"/>
      <c r="C375" s="131"/>
      <c r="D375" s="131"/>
      <c r="E375" s="132"/>
      <c r="F375" s="80"/>
      <c r="G375" s="80"/>
      <c r="H375" s="80"/>
      <c r="I375" s="80"/>
      <c r="J375" s="93"/>
      <c r="K375" s="80"/>
      <c r="L375" s="80"/>
      <c r="M375" s="80"/>
      <c r="N375" s="148" t="s">
        <v>282</v>
      </c>
      <c r="O375" s="139" t="s">
        <v>37</v>
      </c>
      <c r="P375" s="216">
        <f>$F$179</f>
        <v>8</v>
      </c>
      <c r="Q375" s="131" t="s">
        <v>216</v>
      </c>
      <c r="R375" s="9"/>
    </row>
    <row r="376" spans="1:18" ht="17.25" customHeight="1">
      <c r="A376" s="130"/>
      <c r="B376" s="130"/>
      <c r="C376" s="131"/>
      <c r="D376" s="131"/>
      <c r="E376" s="142"/>
      <c r="F376" s="142"/>
      <c r="G376" s="80"/>
      <c r="H376" s="80"/>
      <c r="I376" s="80"/>
      <c r="J376" s="93"/>
      <c r="K376" s="80"/>
      <c r="L376" s="80"/>
      <c r="M376" s="80"/>
      <c r="N376" s="148" t="s">
        <v>287</v>
      </c>
      <c r="O376" s="80"/>
      <c r="P376" s="147" t="str">
        <f>IF(P375&gt;P374,"OK","NG")</f>
        <v>OK</v>
      </c>
      <c r="Q376" s="131"/>
      <c r="R376" s="9"/>
    </row>
    <row r="377" spans="1:18" ht="2.25" customHeight="1">
      <c r="A377" s="130"/>
      <c r="B377" s="130"/>
      <c r="C377" s="131"/>
      <c r="D377" s="131"/>
      <c r="E377" s="132"/>
      <c r="F377" s="80"/>
      <c r="G377" s="80"/>
      <c r="H377" s="80"/>
      <c r="I377" s="80"/>
      <c r="J377" s="93"/>
      <c r="K377" s="80"/>
      <c r="L377" s="80"/>
      <c r="M377" s="80"/>
      <c r="N377" s="80"/>
      <c r="O377" s="80"/>
      <c r="P377" s="93"/>
      <c r="Q377" s="131"/>
      <c r="R377" s="9"/>
    </row>
    <row r="378" spans="1:18" ht="2.25" customHeight="1">
      <c r="A378" s="130"/>
      <c r="B378" s="130"/>
      <c r="C378" s="225"/>
      <c r="D378" s="131"/>
      <c r="E378" s="132"/>
      <c r="F378" s="80"/>
      <c r="G378" s="80"/>
      <c r="H378" s="80"/>
      <c r="I378" s="80"/>
      <c r="J378" s="93"/>
      <c r="K378" s="80"/>
      <c r="L378" s="80"/>
      <c r="M378" s="80"/>
      <c r="N378" s="80"/>
      <c r="O378" s="80"/>
      <c r="P378" s="93"/>
      <c r="Q378" s="131"/>
      <c r="R378" s="9"/>
    </row>
    <row r="379" spans="1:18" ht="13.5">
      <c r="A379" s="130"/>
      <c r="B379" s="130"/>
      <c r="C379" s="133" t="s">
        <v>283</v>
      </c>
      <c r="D379" s="131"/>
      <c r="E379" s="134" t="s">
        <v>284</v>
      </c>
      <c r="F379" s="203">
        <f>P348*10</f>
        <v>22250520</v>
      </c>
      <c r="G379" s="93" t="s">
        <v>280</v>
      </c>
      <c r="H379" s="80">
        <f>L368</f>
        <v>662</v>
      </c>
      <c r="I379" s="139" t="s">
        <v>13</v>
      </c>
      <c r="J379" s="93">
        <f>L371</f>
        <v>0.9157022961429381</v>
      </c>
      <c r="K379" s="139" t="s">
        <v>13</v>
      </c>
      <c r="L379" s="202">
        <f>F354*10</f>
        <v>232</v>
      </c>
      <c r="M379" s="80" t="s">
        <v>285</v>
      </c>
      <c r="N379" s="194">
        <f>F379/(H379*J379*L379)</f>
        <v>158.21217008174003</v>
      </c>
      <c r="O379" s="131" t="s">
        <v>216</v>
      </c>
      <c r="P379" s="93"/>
      <c r="Q379" s="131"/>
      <c r="R379" s="9"/>
    </row>
    <row r="380" spans="1:18" ht="13.5">
      <c r="A380" s="130"/>
      <c r="B380" s="130"/>
      <c r="C380" s="131"/>
      <c r="D380" s="131"/>
      <c r="E380" s="132"/>
      <c r="F380" s="80"/>
      <c r="G380" s="80"/>
      <c r="H380" s="80"/>
      <c r="I380" s="80"/>
      <c r="J380" s="93"/>
      <c r="K380" s="80"/>
      <c r="L380" s="148" t="s">
        <v>286</v>
      </c>
      <c r="M380" s="139" t="s">
        <v>37</v>
      </c>
      <c r="N380" s="136">
        <f>$F$183</f>
        <v>195</v>
      </c>
      <c r="O380" s="131" t="s">
        <v>216</v>
      </c>
      <c r="P380" s="93"/>
      <c r="Q380" s="131"/>
      <c r="R380" s="9"/>
    </row>
    <row r="381" spans="1:18" ht="13.5">
      <c r="A381" s="130"/>
      <c r="B381" s="130"/>
      <c r="C381" s="131"/>
      <c r="D381" s="131"/>
      <c r="E381" s="132"/>
      <c r="F381" s="80"/>
      <c r="G381" s="80"/>
      <c r="H381" s="80"/>
      <c r="I381" s="80"/>
      <c r="J381" s="93"/>
      <c r="K381" s="80"/>
      <c r="L381" s="80"/>
      <c r="M381" s="80"/>
      <c r="N381" s="148" t="s">
        <v>288</v>
      </c>
      <c r="O381" s="80"/>
      <c r="P381" s="147" t="str">
        <f>IF(N380&gt;N379,"OK","NG")</f>
        <v>OK</v>
      </c>
      <c r="Q381" s="131"/>
      <c r="R381" s="9"/>
    </row>
    <row r="382" spans="1:18" ht="3" customHeight="1">
      <c r="A382" s="130"/>
      <c r="B382" s="130"/>
      <c r="C382" s="225"/>
      <c r="D382" s="131"/>
      <c r="E382" s="132"/>
      <c r="F382" s="80"/>
      <c r="G382" s="80"/>
      <c r="H382" s="80"/>
      <c r="I382" s="80"/>
      <c r="J382" s="93"/>
      <c r="K382" s="80"/>
      <c r="L382" s="80"/>
      <c r="M382" s="80"/>
      <c r="N382" s="80"/>
      <c r="O382" s="80"/>
      <c r="P382" s="93"/>
      <c r="Q382" s="131"/>
      <c r="R382" s="9"/>
    </row>
    <row r="383" spans="1:18" ht="13.5">
      <c r="A383" s="130"/>
      <c r="B383" s="130"/>
      <c r="C383" s="133" t="s">
        <v>290</v>
      </c>
      <c r="D383" s="131"/>
      <c r="E383" s="134" t="s">
        <v>291</v>
      </c>
      <c r="F383" s="203">
        <f>P349</f>
        <v>25713</v>
      </c>
      <c r="G383" s="93" t="s">
        <v>280</v>
      </c>
      <c r="H383" s="202">
        <f>D367*10</f>
        <v>1000</v>
      </c>
      <c r="I383" s="139" t="s">
        <v>13</v>
      </c>
      <c r="J383" s="217">
        <f>F354*10</f>
        <v>232</v>
      </c>
      <c r="K383" s="80" t="s">
        <v>285</v>
      </c>
      <c r="L383" s="135">
        <f>F383/(H383*J383)</f>
        <v>0.11083189655172414</v>
      </c>
      <c r="M383" s="131" t="s">
        <v>216</v>
      </c>
      <c r="N383" s="80"/>
      <c r="O383" s="80"/>
      <c r="P383" s="93"/>
      <c r="Q383" s="131"/>
      <c r="R383" s="9"/>
    </row>
    <row r="384" spans="1:18" ht="13.5">
      <c r="A384" s="130"/>
      <c r="B384" s="130"/>
      <c r="C384" s="131"/>
      <c r="D384" s="131"/>
      <c r="E384" s="132"/>
      <c r="F384" s="80"/>
      <c r="G384" s="80"/>
      <c r="H384" s="80"/>
      <c r="I384" s="80"/>
      <c r="J384" s="148" t="s">
        <v>292</v>
      </c>
      <c r="K384" s="139" t="s">
        <v>37</v>
      </c>
      <c r="L384" s="216">
        <f>$F$180</f>
        <v>0.73</v>
      </c>
      <c r="M384" s="131" t="s">
        <v>216</v>
      </c>
      <c r="N384" s="80"/>
      <c r="O384" s="80"/>
      <c r="P384" s="93"/>
      <c r="Q384" s="131"/>
      <c r="R384" s="9"/>
    </row>
    <row r="385" spans="1:18" ht="13.5">
      <c r="A385" s="130"/>
      <c r="B385" s="130"/>
      <c r="C385" s="131"/>
      <c r="D385" s="131"/>
      <c r="E385" s="132"/>
      <c r="F385" s="80"/>
      <c r="G385" s="80"/>
      <c r="H385" s="80"/>
      <c r="I385" s="80"/>
      <c r="J385" s="93"/>
      <c r="K385" s="80"/>
      <c r="L385" s="135"/>
      <c r="M385" s="80"/>
      <c r="N385" s="148" t="s">
        <v>293</v>
      </c>
      <c r="O385" s="80"/>
      <c r="P385" s="147" t="str">
        <f>IF(L384&gt;L383,"OK","NG")</f>
        <v>OK</v>
      </c>
      <c r="Q385" s="131"/>
      <c r="R385" s="9"/>
    </row>
    <row r="386" spans="1:18" ht="13.5">
      <c r="A386" s="130"/>
      <c r="B386" s="130"/>
      <c r="C386" s="131"/>
      <c r="D386" s="131"/>
      <c r="E386" s="132"/>
      <c r="F386" s="80"/>
      <c r="G386" s="80"/>
      <c r="H386" s="80"/>
      <c r="I386" s="80"/>
      <c r="J386" s="93"/>
      <c r="K386" s="80"/>
      <c r="L386" s="80"/>
      <c r="M386" s="80"/>
      <c r="N386" s="80"/>
      <c r="O386" s="80"/>
      <c r="P386" s="93"/>
      <c r="Q386" s="131"/>
      <c r="R386" s="9"/>
    </row>
    <row r="387" spans="1:17" ht="13.5">
      <c r="A387" s="12"/>
      <c r="B387" s="12"/>
      <c r="C387" s="13"/>
      <c r="D387" s="13"/>
      <c r="E387" s="14"/>
      <c r="F387" s="15"/>
      <c r="G387" s="15"/>
      <c r="H387" s="15"/>
      <c r="I387" s="15"/>
      <c r="J387" s="16"/>
      <c r="K387" s="15"/>
      <c r="L387" s="15"/>
      <c r="M387" s="15"/>
      <c r="N387" s="15"/>
      <c r="O387" s="15"/>
      <c r="P387" s="16"/>
      <c r="Q387" s="13"/>
    </row>
  </sheetData>
  <sheetProtection password="CE80" sheet="1" objects="1" scenarios="1"/>
  <mergeCells count="87">
    <mergeCell ref="A322:B323"/>
    <mergeCell ref="A365:B366"/>
    <mergeCell ref="C322:C323"/>
    <mergeCell ref="C365:C366"/>
    <mergeCell ref="A2:D3"/>
    <mergeCell ref="C231:C232"/>
    <mergeCell ref="C76:C78"/>
    <mergeCell ref="D76:I76"/>
    <mergeCell ref="D77:E78"/>
    <mergeCell ref="F77:H77"/>
    <mergeCell ref="E326:F326"/>
    <mergeCell ref="E236:F236"/>
    <mergeCell ref="C204:C206"/>
    <mergeCell ref="D204:I204"/>
    <mergeCell ref="D205:E206"/>
    <mergeCell ref="G205:I206"/>
    <mergeCell ref="F205:F206"/>
    <mergeCell ref="J55:K55"/>
    <mergeCell ref="I10:K10"/>
    <mergeCell ref="E365:E366"/>
    <mergeCell ref="E368:F368"/>
    <mergeCell ref="E237:F237"/>
    <mergeCell ref="E231:E232"/>
    <mergeCell ref="E234:F234"/>
    <mergeCell ref="E235:F235"/>
    <mergeCell ref="E322:E323"/>
    <mergeCell ref="E325:F325"/>
    <mergeCell ref="C196:C198"/>
    <mergeCell ref="E327:F327"/>
    <mergeCell ref="E328:F328"/>
    <mergeCell ref="J5:K5"/>
    <mergeCell ref="I3:N4"/>
    <mergeCell ref="I5:I9"/>
    <mergeCell ref="J6:K6"/>
    <mergeCell ref="J8:K8"/>
    <mergeCell ref="J9:K9"/>
    <mergeCell ref="L54:M54"/>
    <mergeCell ref="D201:E202"/>
    <mergeCell ref="C84:C86"/>
    <mergeCell ref="D84:I84"/>
    <mergeCell ref="E369:F369"/>
    <mergeCell ref="E370:F370"/>
    <mergeCell ref="E371:F371"/>
    <mergeCell ref="C273:C274"/>
    <mergeCell ref="F201:H201"/>
    <mergeCell ref="F202:H202"/>
    <mergeCell ref="I201:I202"/>
    <mergeCell ref="I77:I78"/>
    <mergeCell ref="L55:M55"/>
    <mergeCell ref="C200:C202"/>
    <mergeCell ref="D200:I200"/>
    <mergeCell ref="C80:C82"/>
    <mergeCell ref="D80:I80"/>
    <mergeCell ref="D81:E82"/>
    <mergeCell ref="F81:H81"/>
    <mergeCell ref="I81:I82"/>
    <mergeCell ref="F82:H82"/>
    <mergeCell ref="J52:O52"/>
    <mergeCell ref="I64:P64"/>
    <mergeCell ref="J53:K53"/>
    <mergeCell ref="L53:M53"/>
    <mergeCell ref="J54:K54"/>
    <mergeCell ref="F197:H197"/>
    <mergeCell ref="I65:P65"/>
    <mergeCell ref="I63:P63"/>
    <mergeCell ref="J58:K58"/>
    <mergeCell ref="L58:M58"/>
    <mergeCell ref="N56:O56"/>
    <mergeCell ref="F78:H78"/>
    <mergeCell ref="D85:E86"/>
    <mergeCell ref="F85:F86"/>
    <mergeCell ref="G85:I86"/>
    <mergeCell ref="D197:E198"/>
    <mergeCell ref="F198:H198"/>
    <mergeCell ref="N58:O58"/>
    <mergeCell ref="I197:I198"/>
    <mergeCell ref="D196:I196"/>
    <mergeCell ref="N53:O53"/>
    <mergeCell ref="J7:K7"/>
    <mergeCell ref="M9:N9"/>
    <mergeCell ref="J57:K57"/>
    <mergeCell ref="L57:M57"/>
    <mergeCell ref="N57:O57"/>
    <mergeCell ref="L56:M56"/>
    <mergeCell ref="J56:K56"/>
    <mergeCell ref="N54:O54"/>
    <mergeCell ref="N55:O55"/>
  </mergeCells>
  <dataValidations count="4">
    <dataValidation type="list" allowBlank="1" showInputMessage="1" showErrorMessage="1" sqref="G218 G352 G260 G309">
      <formula1>$G$185:$G$189</formula1>
    </dataValidation>
    <dataValidation type="list" allowBlank="1" showInputMessage="1" showErrorMessage="1" sqref="H362 H228 H270 H319">
      <formula1>"100,150,200,250,300,400,500,600"</formula1>
    </dataValidation>
    <dataValidation type="list" allowBlank="1" showInputMessage="1" showErrorMessage="1" sqref="F178">
      <formula1>"21.0,24.0,27.0"</formula1>
    </dataValidation>
    <dataValidation type="list" allowBlank="1" showInputMessage="1" showErrorMessage="1" sqref="T181 F183">
      <formula1>"195.0,215.0"</formula1>
    </dataValidation>
  </dataValidation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YukioNamiki</dc:creator>
  <cp:keywords/>
  <dc:description/>
  <cp:lastModifiedBy>YukioNamiki</cp:lastModifiedBy>
  <cp:lastPrinted>2013-06-16T12:14:02Z</cp:lastPrinted>
  <dcterms:created xsi:type="dcterms:W3CDTF">2013-06-08T08:58:06Z</dcterms:created>
  <dcterms:modified xsi:type="dcterms:W3CDTF">2013-06-16T12:14:20Z</dcterms:modified>
  <cp:category/>
  <cp:version/>
  <cp:contentType/>
  <cp:contentStatus/>
</cp:coreProperties>
</file>